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4695" firstSheet="1" activeTab="1"/>
  </bookViews>
  <sheets>
    <sheet name="回復済み_Sheet1" sheetId="1" state="veryHidden" r:id="rId1"/>
    <sheet name="R3" sheetId="2" r:id="rId2"/>
    <sheet name="R2" sheetId="3" r:id="rId3"/>
    <sheet name="R1" sheetId="4" r:id="rId4"/>
    <sheet name="Ｈ30" sheetId="5" r:id="rId5"/>
    <sheet name="Ｈ29" sheetId="6" r:id="rId6"/>
    <sheet name="Ｈ28" sheetId="7" r:id="rId7"/>
    <sheet name="Ｈ27" sheetId="8" r:id="rId8"/>
    <sheet name="Ｈ26" sheetId="9" r:id="rId9"/>
    <sheet name="Ｈ25" sheetId="10" r:id="rId10"/>
    <sheet name="Ｈ24" sheetId="11" r:id="rId11"/>
    <sheet name="Ｈ23" sheetId="12" r:id="rId12"/>
  </sheets>
  <definedNames>
    <definedName name="_xlnm.Print_Area" localSheetId="11">'Ｈ23'!$A$1:$K$35</definedName>
    <definedName name="_xlnm.Print_Area" localSheetId="10">'Ｈ24'!$A$1:$K$35</definedName>
    <definedName name="_xlnm.Print_Area" localSheetId="9">'Ｈ25'!$A$1:$K$35</definedName>
    <definedName name="_xlnm.Print_Area" localSheetId="8">'Ｈ26'!$A$1:$K$35</definedName>
    <definedName name="_xlnm.Print_Area" localSheetId="7">'Ｈ27'!$A$1:$K$35</definedName>
    <definedName name="_xlnm.Print_Area" localSheetId="6">'Ｈ28'!$A$1:$K$35</definedName>
    <definedName name="_xlnm.Print_Area" localSheetId="5">'Ｈ29'!$A$1:$K$35</definedName>
    <definedName name="_xlnm.Print_Area" localSheetId="4">'Ｈ30'!$A$1:$K$35</definedName>
    <definedName name="_xlnm.Print_Area" localSheetId="3">'R1'!$A$1:$K$35</definedName>
    <definedName name="_xlnm.Print_Area" localSheetId="2">'R2'!$A$1:$K$35</definedName>
    <definedName name="_xlnm.Print_Area" localSheetId="1">'R3'!$A$1:$K$35</definedName>
  </definedNames>
  <calcPr fullCalcOnLoad="1"/>
</workbook>
</file>

<file path=xl/sharedStrings.xml><?xml version="1.0" encoding="utf-8"?>
<sst xmlns="http://schemas.openxmlformats.org/spreadsheetml/2006/main" count="1188" uniqueCount="58">
  <si>
    <t>（１） 一般被保険者</t>
  </si>
  <si>
    <t>合      計</t>
  </si>
  <si>
    <t>（２） 退職被保険者等</t>
  </si>
  <si>
    <t>件数</t>
  </si>
  <si>
    <t>日数</t>
  </si>
  <si>
    <t>区　　分</t>
  </si>
  <si>
    <t>費　用　額</t>
  </si>
  <si>
    <t>結核予防法等
公費負担金</t>
  </si>
  <si>
    <t>療養の給付</t>
  </si>
  <si>
    <t>療養費</t>
  </si>
  <si>
    <t>出産育児一時金</t>
  </si>
  <si>
    <t>葬祭費</t>
  </si>
  <si>
    <t>高額療養費</t>
  </si>
  <si>
    <t>　　　入院</t>
  </si>
  <si>
    <t>　　　入院外</t>
  </si>
  <si>
    <t>　　　歯科</t>
  </si>
  <si>
    <t>　　　薬剤の支給</t>
  </si>
  <si>
    <t>保険者
負担分</t>
  </si>
  <si>
    <t>被保険者
負担分</t>
  </si>
  <si>
    <t>　　療養諸費計</t>
  </si>
  <si>
    <t>　　療養諸費計</t>
  </si>
  <si>
    <t>　　計</t>
  </si>
  <si>
    <t>　　 計</t>
  </si>
  <si>
    <t>*</t>
  </si>
  <si>
    <t>*</t>
  </si>
  <si>
    <t>１２-８　国民健康保険給付状況</t>
  </si>
  <si>
    <r>
      <t>資料：</t>
    </r>
    <r>
      <rPr>
        <sz val="11"/>
        <rFont val="ＭＳ Ｐ明朝"/>
        <family val="1"/>
      </rPr>
      <t>国保年金課　事業年報</t>
    </r>
  </si>
  <si>
    <t>平成23年度 （単位：件，日，円）</t>
  </si>
  <si>
    <t>平成24年度 （単位：件，日，円）</t>
  </si>
  <si>
    <t>区　　分</t>
  </si>
  <si>
    <t>件数</t>
  </si>
  <si>
    <t>日数</t>
  </si>
  <si>
    <t>費　用　額</t>
  </si>
  <si>
    <t>保険者
負担分</t>
  </si>
  <si>
    <t>被保険者
負担分</t>
  </si>
  <si>
    <t>結核予防法等
公費負担金</t>
  </si>
  <si>
    <t>　　　入院</t>
  </si>
  <si>
    <t>*</t>
  </si>
  <si>
    <t>　　　入院外</t>
  </si>
  <si>
    <t>　　　歯科</t>
  </si>
  <si>
    <t>　　　薬剤の支給</t>
  </si>
  <si>
    <t>*</t>
  </si>
  <si>
    <t>出産育児一時金</t>
  </si>
  <si>
    <t>葬祭費</t>
  </si>
  <si>
    <t>高額療養費</t>
  </si>
  <si>
    <t>　　療養諸費計</t>
  </si>
  <si>
    <t>平成25年度 （単位：件，日，円）</t>
  </si>
  <si>
    <t>平成26年度 （単位：件，日，円）</t>
  </si>
  <si>
    <t>平成27年度 （単位：件，日，円）</t>
  </si>
  <si>
    <t>*</t>
  </si>
  <si>
    <t>平成28年度 （単位：件，日，円）</t>
  </si>
  <si>
    <t>平成29年度 （単位：件，日，円）</t>
  </si>
  <si>
    <t>平成30年度 （単位：件，日，円）</t>
  </si>
  <si>
    <t>令和元年度 （単位：件，日，円）</t>
  </si>
  <si>
    <t>令和２年度 （単位：件，日，円）</t>
  </si>
  <si>
    <t>令和２年度 （単位：件，日，円）</t>
  </si>
  <si>
    <t>令和３年度 （単位：件，日，円）</t>
  </si>
  <si>
    <t>令和３年度 （単位：件，日，円）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</si>
</sst>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(&quot;###,###&quot;)&quot;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20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37" fontId="14" fillId="0" borderId="14" xfId="0" applyNumberFormat="1" applyFont="1" applyFill="1" applyBorder="1" applyAlignment="1" applyProtection="1">
      <alignment vertical="center"/>
      <protection/>
    </xf>
    <xf numFmtId="37" fontId="14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/>
    </xf>
    <xf numFmtId="37" fontId="15" fillId="33" borderId="0" xfId="0" applyNumberFormat="1" applyFont="1" applyFill="1" applyBorder="1" applyAlignment="1" applyProtection="1">
      <alignment horizontal="right" vertical="center"/>
      <protection/>
    </xf>
    <xf numFmtId="37" fontId="14" fillId="33" borderId="14" xfId="0" applyNumberFormat="1" applyFont="1" applyFill="1" applyBorder="1" applyAlignment="1" applyProtection="1">
      <alignment vertical="center"/>
      <protection/>
    </xf>
    <xf numFmtId="37" fontId="14" fillId="33" borderId="12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37" fontId="15" fillId="33" borderId="15" xfId="0" applyNumberFormat="1" applyFont="1" applyFill="1" applyBorder="1" applyAlignment="1" applyProtection="1">
      <alignment horizontal="right" vertical="center"/>
      <protection/>
    </xf>
    <xf numFmtId="37" fontId="14" fillId="33" borderId="15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Border="1" applyAlignment="1">
      <alignment horizontal="right"/>
    </xf>
    <xf numFmtId="37" fontId="15" fillId="33" borderId="15" xfId="0" applyNumberFormat="1" applyFont="1" applyFill="1" applyBorder="1" applyAlignment="1" applyProtection="1">
      <alignment vertical="center"/>
      <protection/>
    </xf>
    <xf numFmtId="37" fontId="15" fillId="33" borderId="0" xfId="0" applyNumberFormat="1" applyFont="1" applyFill="1" applyAlignment="1" applyProtection="1">
      <alignment vertical="center"/>
      <protection/>
    </xf>
    <xf numFmtId="38" fontId="15" fillId="33" borderId="0" xfId="53" applyFont="1" applyFill="1" applyAlignment="1" applyProtection="1" quotePrefix="1">
      <alignment horizontal="right" vertical="center"/>
      <protection/>
    </xf>
    <xf numFmtId="0" fontId="12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right"/>
    </xf>
    <xf numFmtId="0" fontId="15" fillId="34" borderId="12" xfId="0" applyFont="1" applyFill="1" applyBorder="1" applyAlignment="1">
      <alignment/>
    </xf>
    <xf numFmtId="0" fontId="15" fillId="34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left" vertical="center"/>
    </xf>
    <xf numFmtId="37" fontId="15" fillId="34" borderId="15" xfId="0" applyNumberFormat="1" applyFont="1" applyFill="1" applyBorder="1" applyAlignment="1" applyProtection="1">
      <alignment vertical="center"/>
      <protection/>
    </xf>
    <xf numFmtId="37" fontId="15" fillId="34" borderId="0" xfId="0" applyNumberFormat="1" applyFont="1" applyFill="1" applyAlignment="1" applyProtection="1">
      <alignment vertical="center"/>
      <protection/>
    </xf>
    <xf numFmtId="37" fontId="15" fillId="34" borderId="0" xfId="0" applyNumberFormat="1" applyFont="1" applyFill="1" applyBorder="1" applyAlignment="1" applyProtection="1">
      <alignment horizontal="right" vertical="center"/>
      <protection/>
    </xf>
    <xf numFmtId="0" fontId="15" fillId="34" borderId="0" xfId="0" applyFont="1" applyFill="1" applyAlignment="1">
      <alignment vertical="center"/>
    </xf>
    <xf numFmtId="0" fontId="15" fillId="34" borderId="0" xfId="0" applyFont="1" applyFill="1" applyBorder="1" applyAlignment="1">
      <alignment vertical="center" textRotation="255"/>
    </xf>
    <xf numFmtId="38" fontId="15" fillId="34" borderId="0" xfId="53" applyFont="1" applyFill="1" applyAlignment="1" applyProtection="1" quotePrefix="1">
      <alignment horizontal="right" vertical="center"/>
      <protection/>
    </xf>
    <xf numFmtId="0" fontId="14" fillId="34" borderId="0" xfId="0" applyFont="1" applyFill="1" applyAlignment="1">
      <alignment horizontal="left" vertical="center"/>
    </xf>
    <xf numFmtId="37" fontId="14" fillId="34" borderId="15" xfId="0" applyNumberFormat="1" applyFont="1" applyFill="1" applyBorder="1" applyAlignment="1" applyProtection="1">
      <alignment vertical="center"/>
      <protection/>
    </xf>
    <xf numFmtId="37" fontId="14" fillId="34" borderId="0" xfId="0" applyNumberFormat="1" applyFont="1" applyFill="1" applyAlignment="1" applyProtection="1">
      <alignment vertical="center"/>
      <protection/>
    </xf>
    <xf numFmtId="37" fontId="14" fillId="34" borderId="14" xfId="0" applyNumberFormat="1" applyFont="1" applyFill="1" applyBorder="1" applyAlignment="1" applyProtection="1">
      <alignment vertical="center"/>
      <protection/>
    </xf>
    <xf numFmtId="37" fontId="14" fillId="34" borderId="12" xfId="0" applyNumberFormat="1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7" fontId="15" fillId="34" borderId="15" xfId="0" applyNumberFormat="1" applyFont="1" applyFill="1" applyBorder="1" applyAlignment="1" applyProtection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37" fontId="15" fillId="0" borderId="15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53" applyFont="1" applyFill="1" applyAlignment="1" applyProtection="1" quotePrefix="1">
      <alignment horizontal="right"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37" fontId="15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 horizontal="left" vertical="center"/>
    </xf>
    <xf numFmtId="37" fontId="15" fillId="0" borderId="14" xfId="0" applyNumberFormat="1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 applyProtection="1">
      <alignment vertical="center"/>
      <protection/>
    </xf>
    <xf numFmtId="37" fontId="15" fillId="34" borderId="14" xfId="0" applyNumberFormat="1" applyFont="1" applyFill="1" applyBorder="1" applyAlignment="1" applyProtection="1">
      <alignment vertical="center"/>
      <protection/>
    </xf>
    <xf numFmtId="37" fontId="15" fillId="34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4" fillId="34" borderId="16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686550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372475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820275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353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820275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095750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82150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24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11530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58215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857625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6"/>
        <xdr:cNvSpPr>
          <a:spLocks/>
        </xdr:cNvSpPr>
      </xdr:nvSpPr>
      <xdr:spPr>
        <a:xfrm>
          <a:off x="6448425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7"/>
        <xdr:cNvSpPr>
          <a:spLocks/>
        </xdr:cNvSpPr>
      </xdr:nvSpPr>
      <xdr:spPr>
        <a:xfrm>
          <a:off x="8134350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8"/>
        <xdr:cNvSpPr>
          <a:spLocks/>
        </xdr:cNvSpPr>
      </xdr:nvSpPr>
      <xdr:spPr>
        <a:xfrm>
          <a:off x="9582150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9"/>
        <xdr:cNvSpPr>
          <a:spLocks/>
        </xdr:cNvSpPr>
      </xdr:nvSpPr>
      <xdr:spPr>
        <a:xfrm>
          <a:off x="4924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10"/>
        <xdr:cNvSpPr>
          <a:spLocks/>
        </xdr:cNvSpPr>
      </xdr:nvSpPr>
      <xdr:spPr>
        <a:xfrm>
          <a:off x="811530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1"/>
        <xdr:cNvSpPr>
          <a:spLocks/>
        </xdr:cNvSpPr>
      </xdr:nvSpPr>
      <xdr:spPr>
        <a:xfrm>
          <a:off x="958215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7"/>
        <xdr:cNvSpPr>
          <a:spLocks/>
        </xdr:cNvSpPr>
      </xdr:nvSpPr>
      <xdr:spPr>
        <a:xfrm>
          <a:off x="3857625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38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39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686550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372475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820275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353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820275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095750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686550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372475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820275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353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820275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095750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686550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372475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820275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353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820275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095750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82150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24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11530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58215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857625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82150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24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11530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58215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857625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82150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24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11530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58215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857625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82150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24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11530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58215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857625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57150</xdr:rowOff>
    </xdr:from>
    <xdr:to>
      <xdr:col>4</xdr:col>
      <xdr:colOff>247650</xdr:colOff>
      <xdr:row>7</xdr:row>
      <xdr:rowOff>180975</xdr:rowOff>
    </xdr:to>
    <xdr:sp>
      <xdr:nvSpPr>
        <xdr:cNvPr id="1" name="図形 7"/>
        <xdr:cNvSpPr>
          <a:spLocks/>
        </xdr:cNvSpPr>
      </xdr:nvSpPr>
      <xdr:spPr>
        <a:xfrm>
          <a:off x="1485900" y="962025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7</xdr:row>
      <xdr:rowOff>180975</xdr:rowOff>
    </xdr:from>
    <xdr:to>
      <xdr:col>4</xdr:col>
      <xdr:colOff>247650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8590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4</xdr:row>
      <xdr:rowOff>57150</xdr:rowOff>
    </xdr:from>
    <xdr:to>
      <xdr:col>4</xdr:col>
      <xdr:colOff>152400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00175" y="96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4</xdr:row>
      <xdr:rowOff>57150</xdr:rowOff>
    </xdr:from>
    <xdr:to>
      <xdr:col>1</xdr:col>
      <xdr:colOff>247650</xdr:colOff>
      <xdr:row>9</xdr:row>
      <xdr:rowOff>190500</xdr:rowOff>
    </xdr:to>
    <xdr:sp>
      <xdr:nvSpPr>
        <xdr:cNvPr id="4" name="図形 10"/>
        <xdr:cNvSpPr>
          <a:spLocks/>
        </xdr:cNvSpPr>
      </xdr:nvSpPr>
      <xdr:spPr>
        <a:xfrm>
          <a:off x="304800" y="962025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16</xdr:row>
      <xdr:rowOff>0</xdr:rowOff>
    </xdr:from>
    <xdr:to>
      <xdr:col>8</xdr:col>
      <xdr:colOff>1485900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3419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16</xdr:row>
      <xdr:rowOff>0</xdr:rowOff>
    </xdr:from>
    <xdr:to>
      <xdr:col>9</xdr:col>
      <xdr:colOff>1466850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341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1200150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82150" y="3419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16</xdr:row>
      <xdr:rowOff>0</xdr:rowOff>
    </xdr:from>
    <xdr:to>
      <xdr:col>7</xdr:col>
      <xdr:colOff>1476375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24425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8115300" y="3419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10</xdr:col>
      <xdr:colOff>76200</xdr:colOff>
      <xdr:row>16</xdr:row>
      <xdr:rowOff>0</xdr:rowOff>
    </xdr:from>
    <xdr:to>
      <xdr:col>10</xdr:col>
      <xdr:colOff>1266825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58215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1" name="図形 10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12" name="図形 11"/>
        <xdr:cNvSpPr>
          <a:spLocks/>
        </xdr:cNvSpPr>
      </xdr:nvSpPr>
      <xdr:spPr>
        <a:xfrm>
          <a:off x="428625" y="3419475"/>
          <a:ext cx="0" cy="0"/>
        </a:xfrm>
        <a:custGeom>
          <a:pathLst>
            <a:path h="16384" w="16384">
              <a:moveTo>
                <a:pt x="11916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857625" y="3419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11</xdr:row>
      <xdr:rowOff>57150</xdr:rowOff>
    </xdr:from>
    <xdr:to>
      <xdr:col>1</xdr:col>
      <xdr:colOff>247650</xdr:colOff>
      <xdr:row>13</xdr:row>
      <xdr:rowOff>180975</xdr:rowOff>
    </xdr:to>
    <xdr:sp>
      <xdr:nvSpPr>
        <xdr:cNvPr id="14" name="図形 10"/>
        <xdr:cNvSpPr>
          <a:spLocks/>
        </xdr:cNvSpPr>
      </xdr:nvSpPr>
      <xdr:spPr>
        <a:xfrm>
          <a:off x="304800" y="2428875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21</xdr:row>
      <xdr:rowOff>57150</xdr:rowOff>
    </xdr:from>
    <xdr:to>
      <xdr:col>4</xdr:col>
      <xdr:colOff>247650</xdr:colOff>
      <xdr:row>24</xdr:row>
      <xdr:rowOff>180975</xdr:rowOff>
    </xdr:to>
    <xdr:sp>
      <xdr:nvSpPr>
        <xdr:cNvPr id="15" name="図形 7"/>
        <xdr:cNvSpPr>
          <a:spLocks/>
        </xdr:cNvSpPr>
      </xdr:nvSpPr>
      <xdr:spPr>
        <a:xfrm>
          <a:off x="1485900" y="4152900"/>
          <a:ext cx="95250" cy="75247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152400</xdr:colOff>
      <xdr:row>24</xdr:row>
      <xdr:rowOff>180975</xdr:rowOff>
    </xdr:from>
    <xdr:to>
      <xdr:col>4</xdr:col>
      <xdr:colOff>247650</xdr:colOff>
      <xdr:row>24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485900" y="490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21</xdr:row>
      <xdr:rowOff>57150</xdr:rowOff>
    </xdr:from>
    <xdr:to>
      <xdr:col>4</xdr:col>
      <xdr:colOff>152400</xdr:colOff>
      <xdr:row>21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400175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57150</xdr:rowOff>
    </xdr:from>
    <xdr:to>
      <xdr:col>1</xdr:col>
      <xdr:colOff>247650</xdr:colOff>
      <xdr:row>26</xdr:row>
      <xdr:rowOff>190500</xdr:rowOff>
    </xdr:to>
    <xdr:sp>
      <xdr:nvSpPr>
        <xdr:cNvPr id="18" name="図形 10"/>
        <xdr:cNvSpPr>
          <a:spLocks/>
        </xdr:cNvSpPr>
      </xdr:nvSpPr>
      <xdr:spPr>
        <a:xfrm>
          <a:off x="304800" y="4152900"/>
          <a:ext cx="95250" cy="118110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28</xdr:row>
      <xdr:rowOff>57150</xdr:rowOff>
    </xdr:from>
    <xdr:to>
      <xdr:col>1</xdr:col>
      <xdr:colOff>247650</xdr:colOff>
      <xdr:row>30</xdr:row>
      <xdr:rowOff>180975</xdr:rowOff>
    </xdr:to>
    <xdr:sp>
      <xdr:nvSpPr>
        <xdr:cNvPr id="19" name="図形 10"/>
        <xdr:cNvSpPr>
          <a:spLocks/>
        </xdr:cNvSpPr>
      </xdr:nvSpPr>
      <xdr:spPr>
        <a:xfrm>
          <a:off x="304800" y="5619750"/>
          <a:ext cx="95250" cy="5429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  <a:lnTo>
                <a:pt x="0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5"/>
  <sheetViews>
    <sheetView showGridLines="0" defaultGridColor="0" zoomScalePageLayoutView="0" colorId="22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5" sqref="H5"/>
    </sheetView>
  </sheetViews>
  <sheetFormatPr defaultColWidth="8.59765625" defaultRowHeight="15"/>
  <cols>
    <col min="1" max="1" width="1.59765625" style="36" customWidth="1"/>
    <col min="2" max="2" width="2.8984375" style="36" customWidth="1"/>
    <col min="3" max="3" width="2.8984375" style="36" bestFit="1" customWidth="1"/>
    <col min="4" max="4" width="6.59765625" style="36" customWidth="1"/>
    <col min="5" max="5" width="14.3984375" style="36" customWidth="1"/>
    <col min="6" max="6" width="11.19921875" style="36" bestFit="1" customWidth="1"/>
    <col min="7" max="7" width="11.19921875" style="36" customWidth="1"/>
    <col min="8" max="8" width="16.19921875" style="36" customWidth="1"/>
    <col min="9" max="9" width="17.3984375" style="36" bestFit="1" customWidth="1"/>
    <col min="10" max="10" width="15.3984375" style="36" customWidth="1"/>
    <col min="11" max="11" width="14.5" style="36" customWidth="1"/>
    <col min="12" max="16384" width="8.59765625" style="36" customWidth="1"/>
  </cols>
  <sheetData>
    <row r="1" spans="2:11" ht="24">
      <c r="B1" s="35" t="s">
        <v>25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s="39" customFormat="1" ht="13.5">
      <c r="B2" s="37" t="s">
        <v>0</v>
      </c>
      <c r="C2" s="38"/>
      <c r="D2" s="38"/>
      <c r="K2" s="40" t="s">
        <v>46</v>
      </c>
    </row>
    <row r="3" spans="2:11" s="39" customFormat="1" ht="4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s="39" customFormat="1" ht="29.25" customHeight="1">
      <c r="B4" s="117" t="s">
        <v>5</v>
      </c>
      <c r="C4" s="117"/>
      <c r="D4" s="117"/>
      <c r="E4" s="118"/>
      <c r="F4" s="42" t="s">
        <v>3</v>
      </c>
      <c r="G4" s="42" t="s">
        <v>4</v>
      </c>
      <c r="H4" s="42" t="s">
        <v>6</v>
      </c>
      <c r="I4" s="43" t="s">
        <v>17</v>
      </c>
      <c r="J4" s="43" t="s">
        <v>18</v>
      </c>
      <c r="K4" s="43" t="s">
        <v>7</v>
      </c>
    </row>
    <row r="5" spans="2:11" s="49" customFormat="1" ht="16.5" customHeight="1">
      <c r="B5" s="44"/>
      <c r="C5" s="37" t="s">
        <v>8</v>
      </c>
      <c r="D5" s="44"/>
      <c r="E5" s="45" t="s">
        <v>13</v>
      </c>
      <c r="F5" s="46">
        <v>13655</v>
      </c>
      <c r="G5" s="47">
        <v>209265</v>
      </c>
      <c r="H5" s="47">
        <v>7381225601</v>
      </c>
      <c r="I5" s="48" t="s">
        <v>23</v>
      </c>
      <c r="J5" s="48" t="s">
        <v>23</v>
      </c>
      <c r="K5" s="48" t="s">
        <v>23</v>
      </c>
    </row>
    <row r="6" spans="2:11" s="49" customFormat="1" ht="16.5" customHeight="1">
      <c r="B6" s="44"/>
      <c r="C6" s="50"/>
      <c r="D6" s="44"/>
      <c r="E6" s="45" t="s">
        <v>14</v>
      </c>
      <c r="F6" s="46">
        <v>718045</v>
      </c>
      <c r="G6" s="47">
        <v>1218173</v>
      </c>
      <c r="H6" s="47">
        <v>9757509150</v>
      </c>
      <c r="I6" s="48" t="s">
        <v>23</v>
      </c>
      <c r="J6" s="48" t="s">
        <v>23</v>
      </c>
      <c r="K6" s="48" t="s">
        <v>23</v>
      </c>
    </row>
    <row r="7" spans="2:11" s="49" customFormat="1" ht="16.5" customHeight="1">
      <c r="B7" s="44"/>
      <c r="C7" s="50"/>
      <c r="D7" s="44"/>
      <c r="E7" s="45" t="s">
        <v>15</v>
      </c>
      <c r="F7" s="46">
        <v>170477</v>
      </c>
      <c r="G7" s="47">
        <v>322876</v>
      </c>
      <c r="H7" s="47">
        <v>2155071630</v>
      </c>
      <c r="I7" s="48" t="s">
        <v>23</v>
      </c>
      <c r="J7" s="48" t="s">
        <v>23</v>
      </c>
      <c r="K7" s="48" t="s">
        <v>23</v>
      </c>
    </row>
    <row r="8" spans="2:11" s="49" customFormat="1" ht="16.5" customHeight="1">
      <c r="B8" s="44"/>
      <c r="C8" s="50"/>
      <c r="D8" s="44"/>
      <c r="E8" s="45" t="s">
        <v>16</v>
      </c>
      <c r="F8" s="46">
        <v>357242</v>
      </c>
      <c r="G8" s="51">
        <v>453379</v>
      </c>
      <c r="H8" s="47">
        <v>4111225608</v>
      </c>
      <c r="I8" s="48" t="s">
        <v>23</v>
      </c>
      <c r="J8" s="48" t="s">
        <v>23</v>
      </c>
      <c r="K8" s="48" t="s">
        <v>23</v>
      </c>
    </row>
    <row r="9" spans="2:11" s="49" customFormat="1" ht="16.5" customHeight="1">
      <c r="B9" s="44"/>
      <c r="C9" s="50"/>
      <c r="D9" s="44"/>
      <c r="E9" s="52" t="s">
        <v>22</v>
      </c>
      <c r="F9" s="53">
        <f>SUM(F5:F8)</f>
        <v>1259419</v>
      </c>
      <c r="G9" s="54">
        <f>SUM(G5:G8)</f>
        <v>2203693</v>
      </c>
      <c r="H9" s="54">
        <f>SUM(H5:H8)</f>
        <v>23405031989</v>
      </c>
      <c r="I9" s="54">
        <v>17038195260</v>
      </c>
      <c r="J9" s="54">
        <v>5001951018</v>
      </c>
      <c r="K9" s="54">
        <v>1364885711</v>
      </c>
    </row>
    <row r="10" spans="2:11" s="49" customFormat="1" ht="16.5" customHeight="1">
      <c r="B10" s="45"/>
      <c r="C10" s="45" t="s">
        <v>9</v>
      </c>
      <c r="D10" s="45"/>
      <c r="E10" s="44"/>
      <c r="F10" s="46">
        <v>31933</v>
      </c>
      <c r="G10" s="48" t="s">
        <v>23</v>
      </c>
      <c r="H10" s="47">
        <v>292096529</v>
      </c>
      <c r="I10" s="47">
        <v>212747851</v>
      </c>
      <c r="J10" s="47">
        <v>56517344</v>
      </c>
      <c r="K10" s="47">
        <v>22831334</v>
      </c>
    </row>
    <row r="11" spans="2:11" s="49" customFormat="1" ht="16.5" customHeight="1">
      <c r="B11" s="119" t="s">
        <v>19</v>
      </c>
      <c r="C11" s="119"/>
      <c r="D11" s="119"/>
      <c r="E11" s="114"/>
      <c r="F11" s="53">
        <f>F9+F10</f>
        <v>1291352</v>
      </c>
      <c r="G11" s="54">
        <f>G9</f>
        <v>2203693</v>
      </c>
      <c r="H11" s="54">
        <f>H9+H10</f>
        <v>23697128518</v>
      </c>
      <c r="I11" s="54">
        <f>I9+I10</f>
        <v>17250943111</v>
      </c>
      <c r="J11" s="54">
        <f>J9+J10</f>
        <v>5058468362</v>
      </c>
      <c r="K11" s="54">
        <f>K9+K10</f>
        <v>1387717045</v>
      </c>
    </row>
    <row r="12" spans="3:11" s="49" customFormat="1" ht="16.5" customHeight="1">
      <c r="C12" s="45" t="s">
        <v>10</v>
      </c>
      <c r="D12" s="45"/>
      <c r="F12" s="46">
        <v>440</v>
      </c>
      <c r="G12" s="48" t="s">
        <v>23</v>
      </c>
      <c r="H12" s="48" t="s">
        <v>23</v>
      </c>
      <c r="I12" s="47">
        <v>183837140</v>
      </c>
      <c r="J12" s="48" t="s">
        <v>23</v>
      </c>
      <c r="K12" s="48" t="s">
        <v>23</v>
      </c>
    </row>
    <row r="13" spans="3:11" s="49" customFormat="1" ht="16.5" customHeight="1">
      <c r="C13" s="45" t="s">
        <v>11</v>
      </c>
      <c r="D13" s="45"/>
      <c r="F13" s="46">
        <v>434</v>
      </c>
      <c r="G13" s="48" t="s">
        <v>23</v>
      </c>
      <c r="H13" s="48" t="s">
        <v>23</v>
      </c>
      <c r="I13" s="47">
        <v>21700000</v>
      </c>
      <c r="J13" s="48" t="s">
        <v>23</v>
      </c>
      <c r="K13" s="48" t="s">
        <v>23</v>
      </c>
    </row>
    <row r="14" spans="3:11" s="49" customFormat="1" ht="16.5" customHeight="1">
      <c r="C14" s="45" t="s">
        <v>12</v>
      </c>
      <c r="D14" s="45"/>
      <c r="F14" s="46">
        <v>30590</v>
      </c>
      <c r="G14" s="48" t="s">
        <v>23</v>
      </c>
      <c r="H14" s="48" t="s">
        <v>23</v>
      </c>
      <c r="I14" s="47">
        <v>1762289457</v>
      </c>
      <c r="J14" s="48" t="s">
        <v>23</v>
      </c>
      <c r="K14" s="48" t="s">
        <v>23</v>
      </c>
    </row>
    <row r="15" spans="2:11" s="49" customFormat="1" ht="16.5" customHeight="1">
      <c r="B15" s="113" t="s">
        <v>21</v>
      </c>
      <c r="C15" s="113"/>
      <c r="D15" s="113"/>
      <c r="E15" s="114"/>
      <c r="F15" s="53">
        <f>SUM(F12:F14)</f>
        <v>31464</v>
      </c>
      <c r="G15" s="48" t="s">
        <v>23</v>
      </c>
      <c r="H15" s="48" t="s">
        <v>23</v>
      </c>
      <c r="I15" s="54">
        <f>SUM(I12:I14)</f>
        <v>1967826597</v>
      </c>
      <c r="J15" s="48" t="s">
        <v>23</v>
      </c>
      <c r="K15" s="48" t="s">
        <v>23</v>
      </c>
    </row>
    <row r="16" spans="2:11" s="49" customFormat="1" ht="16.5" customHeight="1" thickBot="1">
      <c r="B16" s="115" t="s">
        <v>1</v>
      </c>
      <c r="C16" s="115"/>
      <c r="D16" s="115"/>
      <c r="E16" s="116"/>
      <c r="F16" s="55">
        <f>F11+F15</f>
        <v>1322816</v>
      </c>
      <c r="G16" s="56">
        <f>G11</f>
        <v>2203693</v>
      </c>
      <c r="H16" s="56">
        <f>H11</f>
        <v>23697128518</v>
      </c>
      <c r="I16" s="56">
        <f>I11+I15</f>
        <v>19218769708</v>
      </c>
      <c r="J16" s="56">
        <f>J11</f>
        <v>5058468362</v>
      </c>
      <c r="K16" s="56">
        <f>K11</f>
        <v>1387717045</v>
      </c>
    </row>
    <row r="17" s="39" customFormat="1" ht="4.5" customHeight="1"/>
    <row r="18" s="39" customFormat="1" ht="4.5" customHeight="1"/>
    <row r="19" spans="2:11" s="39" customFormat="1" ht="12.75" customHeight="1">
      <c r="B19" s="57" t="s">
        <v>2</v>
      </c>
      <c r="C19" s="58"/>
      <c r="D19" s="58"/>
      <c r="E19" s="58"/>
      <c r="F19" s="58"/>
      <c r="K19" s="40" t="s">
        <v>46</v>
      </c>
    </row>
    <row r="20" spans="2:11" s="39" customFormat="1" ht="4.5" customHeight="1" thickBot="1"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2:11" s="39" customFormat="1" ht="27">
      <c r="B21" s="117" t="s">
        <v>5</v>
      </c>
      <c r="C21" s="117"/>
      <c r="D21" s="117"/>
      <c r="E21" s="118"/>
      <c r="F21" s="42" t="s">
        <v>3</v>
      </c>
      <c r="G21" s="42" t="s">
        <v>4</v>
      </c>
      <c r="H21" s="42" t="s">
        <v>6</v>
      </c>
      <c r="I21" s="43" t="s">
        <v>17</v>
      </c>
      <c r="J21" s="43" t="s">
        <v>18</v>
      </c>
      <c r="K21" s="43" t="s">
        <v>7</v>
      </c>
    </row>
    <row r="22" spans="2:11" s="49" customFormat="1" ht="16.5" customHeight="1">
      <c r="B22" s="44"/>
      <c r="C22" s="37" t="s">
        <v>8</v>
      </c>
      <c r="D22" s="44"/>
      <c r="E22" s="45" t="s">
        <v>13</v>
      </c>
      <c r="F22" s="46">
        <v>1169</v>
      </c>
      <c r="G22" s="47">
        <v>17055</v>
      </c>
      <c r="H22" s="47">
        <v>652266832</v>
      </c>
      <c r="I22" s="48" t="s">
        <v>23</v>
      </c>
      <c r="J22" s="48" t="s">
        <v>23</v>
      </c>
      <c r="K22" s="48" t="s">
        <v>23</v>
      </c>
    </row>
    <row r="23" spans="2:11" s="49" customFormat="1" ht="16.5" customHeight="1">
      <c r="B23" s="44"/>
      <c r="C23" s="50"/>
      <c r="D23" s="44"/>
      <c r="E23" s="45" t="s">
        <v>14</v>
      </c>
      <c r="F23" s="46">
        <v>57790</v>
      </c>
      <c r="G23" s="47">
        <v>99400</v>
      </c>
      <c r="H23" s="47">
        <v>964103361</v>
      </c>
      <c r="I23" s="48" t="s">
        <v>23</v>
      </c>
      <c r="J23" s="48" t="s">
        <v>23</v>
      </c>
      <c r="K23" s="48" t="s">
        <v>23</v>
      </c>
    </row>
    <row r="24" spans="2:11" s="49" customFormat="1" ht="16.5" customHeight="1">
      <c r="B24" s="44"/>
      <c r="C24" s="50"/>
      <c r="D24" s="44"/>
      <c r="E24" s="45" t="s">
        <v>15</v>
      </c>
      <c r="F24" s="46">
        <v>14710</v>
      </c>
      <c r="G24" s="47">
        <v>28039</v>
      </c>
      <c r="H24" s="47">
        <v>179313850</v>
      </c>
      <c r="I24" s="48" t="s">
        <v>23</v>
      </c>
      <c r="J24" s="48" t="s">
        <v>23</v>
      </c>
      <c r="K24" s="48" t="s">
        <v>23</v>
      </c>
    </row>
    <row r="25" spans="2:11" s="49" customFormat="1" ht="16.5" customHeight="1">
      <c r="B25" s="44"/>
      <c r="C25" s="50"/>
      <c r="D25" s="44"/>
      <c r="E25" s="45" t="s">
        <v>16</v>
      </c>
      <c r="F25" s="46">
        <v>28747</v>
      </c>
      <c r="G25" s="47">
        <v>36524</v>
      </c>
      <c r="H25" s="47">
        <v>371238770</v>
      </c>
      <c r="I25" s="48" t="s">
        <v>23</v>
      </c>
      <c r="J25" s="48" t="s">
        <v>23</v>
      </c>
      <c r="K25" s="48" t="s">
        <v>23</v>
      </c>
    </row>
    <row r="26" spans="2:11" s="49" customFormat="1" ht="16.5" customHeight="1">
      <c r="B26" s="44"/>
      <c r="C26" s="50"/>
      <c r="D26" s="44"/>
      <c r="E26" s="52" t="s">
        <v>22</v>
      </c>
      <c r="F26" s="53">
        <f>SUM(F22:F25)</f>
        <v>102416</v>
      </c>
      <c r="G26" s="54">
        <f>SUM(G22:G25)</f>
        <v>181018</v>
      </c>
      <c r="H26" s="54">
        <f>SUM(H22:H25)</f>
        <v>2166922813</v>
      </c>
      <c r="I26" s="54">
        <v>1515126364</v>
      </c>
      <c r="J26" s="54">
        <v>570493096</v>
      </c>
      <c r="K26" s="54">
        <v>81303353</v>
      </c>
    </row>
    <row r="27" spans="2:11" s="49" customFormat="1" ht="16.5" customHeight="1">
      <c r="B27" s="45"/>
      <c r="C27" s="45" t="s">
        <v>9</v>
      </c>
      <c r="D27" s="45"/>
      <c r="E27" s="44"/>
      <c r="F27" s="46">
        <v>2199</v>
      </c>
      <c r="G27" s="48" t="s">
        <v>23</v>
      </c>
      <c r="H27" s="47">
        <v>20473248</v>
      </c>
      <c r="I27" s="47">
        <v>14330386</v>
      </c>
      <c r="J27" s="47">
        <v>4793618</v>
      </c>
      <c r="K27" s="47">
        <v>1349244</v>
      </c>
    </row>
    <row r="28" spans="2:11" s="49" customFormat="1" ht="16.5" customHeight="1">
      <c r="B28" s="119" t="s">
        <v>20</v>
      </c>
      <c r="C28" s="119"/>
      <c r="D28" s="119"/>
      <c r="E28" s="114"/>
      <c r="F28" s="53">
        <f>F26+F27</f>
        <v>104615</v>
      </c>
      <c r="G28" s="54">
        <f>G26</f>
        <v>181018</v>
      </c>
      <c r="H28" s="54">
        <f>H26+H27</f>
        <v>2187396061</v>
      </c>
      <c r="I28" s="54">
        <f>I26+I27</f>
        <v>1529456750</v>
      </c>
      <c r="J28" s="54">
        <f>J26+J27</f>
        <v>575286714</v>
      </c>
      <c r="K28" s="54">
        <f>K26+K27</f>
        <v>82652597</v>
      </c>
    </row>
    <row r="29" spans="3:11" s="49" customFormat="1" ht="16.5" customHeight="1">
      <c r="C29" s="45" t="s">
        <v>10</v>
      </c>
      <c r="D29" s="45"/>
      <c r="F29" s="59" t="s">
        <v>23</v>
      </c>
      <c r="G29" s="48" t="s">
        <v>23</v>
      </c>
      <c r="H29" s="48" t="s">
        <v>23</v>
      </c>
      <c r="I29" s="48" t="s">
        <v>23</v>
      </c>
      <c r="J29" s="48" t="s">
        <v>23</v>
      </c>
      <c r="K29" s="48" t="s">
        <v>23</v>
      </c>
    </row>
    <row r="30" spans="3:11" s="49" customFormat="1" ht="16.5" customHeight="1">
      <c r="C30" s="45" t="s">
        <v>11</v>
      </c>
      <c r="D30" s="45"/>
      <c r="F30" s="59" t="s">
        <v>23</v>
      </c>
      <c r="G30" s="48" t="s">
        <v>23</v>
      </c>
      <c r="H30" s="48" t="s">
        <v>23</v>
      </c>
      <c r="I30" s="48" t="s">
        <v>23</v>
      </c>
      <c r="J30" s="48" t="s">
        <v>23</v>
      </c>
      <c r="K30" s="48" t="s">
        <v>23</v>
      </c>
    </row>
    <row r="31" spans="3:11" s="49" customFormat="1" ht="16.5" customHeight="1">
      <c r="C31" s="45" t="s">
        <v>12</v>
      </c>
      <c r="D31" s="45"/>
      <c r="F31" s="46">
        <v>2520</v>
      </c>
      <c r="G31" s="48" t="s">
        <v>23</v>
      </c>
      <c r="H31" s="48" t="s">
        <v>23</v>
      </c>
      <c r="I31" s="47">
        <v>196609650</v>
      </c>
      <c r="J31" s="48" t="s">
        <v>23</v>
      </c>
      <c r="K31" s="48" t="s">
        <v>23</v>
      </c>
    </row>
    <row r="32" spans="2:11" s="49" customFormat="1" ht="16.5" customHeight="1">
      <c r="B32" s="113" t="s">
        <v>21</v>
      </c>
      <c r="C32" s="113"/>
      <c r="D32" s="113"/>
      <c r="E32" s="114"/>
      <c r="F32" s="53">
        <f>SUM(F29:F31)</f>
        <v>2520</v>
      </c>
      <c r="G32" s="48" t="s">
        <v>23</v>
      </c>
      <c r="H32" s="48" t="s">
        <v>23</v>
      </c>
      <c r="I32" s="54">
        <f>SUM(I29:I31)</f>
        <v>196609650</v>
      </c>
      <c r="J32" s="48" t="s">
        <v>23</v>
      </c>
      <c r="K32" s="48" t="s">
        <v>23</v>
      </c>
    </row>
    <row r="33" spans="2:11" s="49" customFormat="1" ht="16.5" customHeight="1" thickBot="1">
      <c r="B33" s="115" t="s">
        <v>1</v>
      </c>
      <c r="C33" s="115"/>
      <c r="D33" s="115"/>
      <c r="E33" s="116"/>
      <c r="F33" s="55">
        <f>F28+F32</f>
        <v>107135</v>
      </c>
      <c r="G33" s="56">
        <f>G28</f>
        <v>181018</v>
      </c>
      <c r="H33" s="56">
        <f>H28</f>
        <v>2187396061</v>
      </c>
      <c r="I33" s="56">
        <f>I28+I32</f>
        <v>1726066400</v>
      </c>
      <c r="J33" s="56">
        <f>J28</f>
        <v>575286714</v>
      </c>
      <c r="K33" s="56">
        <f>K28</f>
        <v>82652597</v>
      </c>
    </row>
    <row r="34" s="39" customFormat="1" ht="4.5" customHeight="1"/>
    <row r="35" spans="2:7" s="39" customFormat="1" ht="13.5">
      <c r="B35" s="60" t="s">
        <v>26</v>
      </c>
      <c r="C35" s="57"/>
      <c r="D35" s="57"/>
      <c r="E35" s="57"/>
      <c r="G35" s="61"/>
    </row>
    <row r="36" s="39" customFormat="1" ht="13.5"/>
    <row r="37" s="39" customFormat="1" ht="13.5"/>
    <row r="38" s="39" customFormat="1" ht="13.5"/>
    <row r="39" s="39" customFormat="1" ht="13.5"/>
    <row r="40" s="39" customFormat="1" ht="13.5"/>
    <row r="41" s="39" customFormat="1" ht="13.5"/>
    <row r="42" s="39" customFormat="1" ht="13.5"/>
    <row r="43" s="39" customFormat="1" ht="13.5"/>
    <row r="44" s="39" customFormat="1" ht="13.5"/>
    <row r="45" s="39" customFormat="1" ht="13.5"/>
    <row r="46" s="39" customFormat="1" ht="13.5"/>
    <row r="47" s="39" customFormat="1" ht="13.5"/>
    <row r="48" s="39" customFormat="1" ht="13.5"/>
    <row r="49" s="39" customFormat="1" ht="13.5"/>
    <row r="50" s="39" customFormat="1" ht="13.5"/>
    <row r="51" s="39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5"/>
  <sheetViews>
    <sheetView showGridLines="0" defaultGridColor="0" zoomScalePageLayoutView="0" colorId="22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O29" sqref="O29"/>
    </sheetView>
  </sheetViews>
  <sheetFormatPr defaultColWidth="8.59765625" defaultRowHeight="15"/>
  <cols>
    <col min="1" max="1" width="1.59765625" style="1" customWidth="1"/>
    <col min="2" max="2" width="2.8984375" style="1" customWidth="1"/>
    <col min="3" max="3" width="2.8984375" style="1" bestFit="1" customWidth="1"/>
    <col min="4" max="4" width="6.59765625" style="1" customWidth="1"/>
    <col min="5" max="5" width="14.3984375" style="1" customWidth="1"/>
    <col min="6" max="6" width="11.19921875" style="1" bestFit="1" customWidth="1"/>
    <col min="7" max="7" width="11.19921875" style="1" customWidth="1"/>
    <col min="8" max="8" width="16.19921875" style="1" customWidth="1"/>
    <col min="9" max="9" width="17.3984375" style="1" bestFit="1" customWidth="1"/>
    <col min="10" max="10" width="15.3984375" style="1" customWidth="1"/>
    <col min="11" max="11" width="14.5" style="1" customWidth="1"/>
    <col min="12" max="16384" width="8.59765625" style="1" customWidth="1"/>
  </cols>
  <sheetData>
    <row r="1" spans="2:11" ht="24"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s="3" customFormat="1" ht="13.5">
      <c r="B2" s="9" t="s">
        <v>0</v>
      </c>
      <c r="C2" s="2"/>
      <c r="D2" s="2"/>
      <c r="J2" s="23"/>
      <c r="K2" s="31" t="s">
        <v>28</v>
      </c>
    </row>
    <row r="3" spans="2:11" s="3" customFormat="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s="3" customFormat="1" ht="29.25" customHeight="1">
      <c r="B4" s="98" t="s">
        <v>29</v>
      </c>
      <c r="C4" s="98"/>
      <c r="D4" s="98"/>
      <c r="E4" s="99"/>
      <c r="F4" s="5" t="s">
        <v>30</v>
      </c>
      <c r="G4" s="5" t="s">
        <v>31</v>
      </c>
      <c r="H4" s="5" t="s">
        <v>32</v>
      </c>
      <c r="I4" s="6" t="s">
        <v>33</v>
      </c>
      <c r="J4" s="6" t="s">
        <v>34</v>
      </c>
      <c r="K4" s="6" t="s">
        <v>35</v>
      </c>
    </row>
    <row r="5" spans="2:11" s="13" customFormat="1" ht="16.5" customHeight="1">
      <c r="B5" s="11"/>
      <c r="C5" s="9" t="s">
        <v>8</v>
      </c>
      <c r="D5" s="11"/>
      <c r="E5" s="12" t="s">
        <v>36</v>
      </c>
      <c r="F5" s="32">
        <v>13350</v>
      </c>
      <c r="G5" s="33">
        <v>203738</v>
      </c>
      <c r="H5" s="33">
        <v>7226215964</v>
      </c>
      <c r="I5" s="20" t="s">
        <v>37</v>
      </c>
      <c r="J5" s="20" t="s">
        <v>37</v>
      </c>
      <c r="K5" s="20" t="s">
        <v>37</v>
      </c>
    </row>
    <row r="6" spans="2:11" s="13" customFormat="1" ht="16.5" customHeight="1">
      <c r="B6" s="11"/>
      <c r="C6" s="10"/>
      <c r="D6" s="11"/>
      <c r="E6" s="12" t="s">
        <v>38</v>
      </c>
      <c r="F6" s="32">
        <v>707471</v>
      </c>
      <c r="G6" s="33">
        <v>1226044</v>
      </c>
      <c r="H6" s="33">
        <v>9556859822</v>
      </c>
      <c r="I6" s="20" t="s">
        <v>37</v>
      </c>
      <c r="J6" s="20" t="s">
        <v>37</v>
      </c>
      <c r="K6" s="20" t="s">
        <v>37</v>
      </c>
    </row>
    <row r="7" spans="2:11" s="13" customFormat="1" ht="16.5" customHeight="1">
      <c r="B7" s="11"/>
      <c r="C7" s="10"/>
      <c r="D7" s="11"/>
      <c r="E7" s="12" t="s">
        <v>39</v>
      </c>
      <c r="F7" s="32">
        <v>165121</v>
      </c>
      <c r="G7" s="33">
        <v>319543</v>
      </c>
      <c r="H7" s="33">
        <v>2125898944</v>
      </c>
      <c r="I7" s="20" t="s">
        <v>37</v>
      </c>
      <c r="J7" s="20" t="s">
        <v>37</v>
      </c>
      <c r="K7" s="20" t="s">
        <v>37</v>
      </c>
    </row>
    <row r="8" spans="2:11" s="13" customFormat="1" ht="16.5" customHeight="1">
      <c r="B8" s="11"/>
      <c r="C8" s="10"/>
      <c r="D8" s="11"/>
      <c r="E8" s="12" t="s">
        <v>40</v>
      </c>
      <c r="F8" s="32">
        <v>350829</v>
      </c>
      <c r="G8" s="34">
        <v>454334</v>
      </c>
      <c r="H8" s="33">
        <v>3888806845</v>
      </c>
      <c r="I8" s="20" t="s">
        <v>37</v>
      </c>
      <c r="J8" s="20" t="s">
        <v>37</v>
      </c>
      <c r="K8" s="20" t="s">
        <v>37</v>
      </c>
    </row>
    <row r="9" spans="2:11" s="13" customFormat="1" ht="16.5" customHeight="1">
      <c r="B9" s="11"/>
      <c r="C9" s="10"/>
      <c r="D9" s="11"/>
      <c r="E9" s="16" t="s">
        <v>22</v>
      </c>
      <c r="F9" s="29">
        <f>SUM(F5:F8)</f>
        <v>1236771</v>
      </c>
      <c r="G9" s="30">
        <f>SUM(G5:G7)</f>
        <v>1749325</v>
      </c>
      <c r="H9" s="30">
        <f>SUM(H5:H8)</f>
        <v>22797781575</v>
      </c>
      <c r="I9" s="30">
        <v>16583788476</v>
      </c>
      <c r="J9" s="30">
        <v>4884625755</v>
      </c>
      <c r="K9" s="30">
        <v>1329367344</v>
      </c>
    </row>
    <row r="10" spans="2:11" s="13" customFormat="1" ht="16.5" customHeight="1">
      <c r="B10" s="12"/>
      <c r="C10" s="12" t="s">
        <v>9</v>
      </c>
      <c r="D10" s="12"/>
      <c r="E10" s="11"/>
      <c r="F10" s="32">
        <v>31528</v>
      </c>
      <c r="G10" s="20" t="s">
        <v>41</v>
      </c>
      <c r="H10" s="33">
        <v>299944381</v>
      </c>
      <c r="I10" s="33">
        <v>217965279</v>
      </c>
      <c r="J10" s="33">
        <v>58671605</v>
      </c>
      <c r="K10" s="33">
        <v>23307497</v>
      </c>
    </row>
    <row r="11" spans="2:11" s="13" customFormat="1" ht="16.5" customHeight="1">
      <c r="B11" s="112" t="s">
        <v>19</v>
      </c>
      <c r="C11" s="112"/>
      <c r="D11" s="112"/>
      <c r="E11" s="109"/>
      <c r="F11" s="29">
        <f>F9+F10</f>
        <v>1268299</v>
      </c>
      <c r="G11" s="30">
        <f>G9</f>
        <v>1749325</v>
      </c>
      <c r="H11" s="30">
        <f>H9+H10</f>
        <v>23097725956</v>
      </c>
      <c r="I11" s="30">
        <f>I9+I10</f>
        <v>16801753755</v>
      </c>
      <c r="J11" s="30">
        <f>J9+J10</f>
        <v>4943297360</v>
      </c>
      <c r="K11" s="30">
        <f>K9+K10</f>
        <v>1352674841</v>
      </c>
    </row>
    <row r="12" spans="3:11" s="13" customFormat="1" ht="16.5" customHeight="1">
      <c r="C12" s="12" t="s">
        <v>42</v>
      </c>
      <c r="D12" s="12"/>
      <c r="F12" s="32">
        <v>449</v>
      </c>
      <c r="G12" s="20" t="s">
        <v>41</v>
      </c>
      <c r="H12" s="20" t="s">
        <v>41</v>
      </c>
      <c r="I12" s="33">
        <v>188050000</v>
      </c>
      <c r="J12" s="20" t="s">
        <v>41</v>
      </c>
      <c r="K12" s="20" t="s">
        <v>41</v>
      </c>
    </row>
    <row r="13" spans="3:11" s="13" customFormat="1" ht="16.5" customHeight="1">
      <c r="C13" s="12" t="s">
        <v>43</v>
      </c>
      <c r="D13" s="12"/>
      <c r="F13" s="32">
        <v>389</v>
      </c>
      <c r="G13" s="20" t="s">
        <v>41</v>
      </c>
      <c r="H13" s="20" t="s">
        <v>41</v>
      </c>
      <c r="I13" s="33">
        <v>19450000</v>
      </c>
      <c r="J13" s="20" t="s">
        <v>41</v>
      </c>
      <c r="K13" s="20" t="s">
        <v>41</v>
      </c>
    </row>
    <row r="14" spans="3:11" s="13" customFormat="1" ht="16.5" customHeight="1">
      <c r="C14" s="12" t="s">
        <v>44</v>
      </c>
      <c r="D14" s="12"/>
      <c r="F14" s="32">
        <v>25242</v>
      </c>
      <c r="G14" s="20" t="s">
        <v>41</v>
      </c>
      <c r="H14" s="20" t="s">
        <v>41</v>
      </c>
      <c r="I14" s="33">
        <v>1709615063</v>
      </c>
      <c r="J14" s="20" t="s">
        <v>41</v>
      </c>
      <c r="K14" s="20" t="s">
        <v>41</v>
      </c>
    </row>
    <row r="15" spans="2:11" s="13" customFormat="1" ht="16.5" customHeight="1">
      <c r="B15" s="108" t="s">
        <v>21</v>
      </c>
      <c r="C15" s="108"/>
      <c r="D15" s="108"/>
      <c r="E15" s="109"/>
      <c r="F15" s="29">
        <f>SUM(F12:F14)</f>
        <v>26080</v>
      </c>
      <c r="G15" s="20" t="s">
        <v>41</v>
      </c>
      <c r="H15" s="20" t="s">
        <v>41</v>
      </c>
      <c r="I15" s="30">
        <f>SUM(I12:I14)</f>
        <v>1917115063</v>
      </c>
      <c r="J15" s="20" t="s">
        <v>41</v>
      </c>
      <c r="K15" s="20" t="s">
        <v>41</v>
      </c>
    </row>
    <row r="16" spans="2:11" s="13" customFormat="1" ht="16.5" customHeight="1" thickBot="1">
      <c r="B16" s="110" t="s">
        <v>1</v>
      </c>
      <c r="C16" s="110"/>
      <c r="D16" s="110"/>
      <c r="E16" s="111"/>
      <c r="F16" s="21">
        <f>F11+F15</f>
        <v>1294379</v>
      </c>
      <c r="G16" s="22">
        <f>G11</f>
        <v>1749325</v>
      </c>
      <c r="H16" s="22">
        <f>H11</f>
        <v>23097725956</v>
      </c>
      <c r="I16" s="22">
        <f>I11+I15</f>
        <v>18718868818</v>
      </c>
      <c r="J16" s="22">
        <f>J11</f>
        <v>4943297360</v>
      </c>
      <c r="K16" s="22">
        <f>K11</f>
        <v>1352674841</v>
      </c>
    </row>
    <row r="17" spans="6:11" s="3" customFormat="1" ht="4.5" customHeight="1">
      <c r="F17" s="23"/>
      <c r="G17" s="23"/>
      <c r="H17" s="23"/>
      <c r="I17" s="23"/>
      <c r="J17" s="23"/>
      <c r="K17" s="23"/>
    </row>
    <row r="18" spans="6:11" s="3" customFormat="1" ht="4.5" customHeight="1">
      <c r="F18" s="23"/>
      <c r="G18" s="23"/>
      <c r="H18" s="23"/>
      <c r="I18" s="23"/>
      <c r="J18" s="23"/>
      <c r="K18" s="23"/>
    </row>
    <row r="19" spans="2:11" s="3" customFormat="1" ht="12.75" customHeight="1">
      <c r="B19" s="14" t="s">
        <v>2</v>
      </c>
      <c r="C19" s="7"/>
      <c r="D19" s="7"/>
      <c r="E19" s="7"/>
      <c r="F19" s="24"/>
      <c r="G19" s="23"/>
      <c r="H19" s="23"/>
      <c r="I19" s="23"/>
      <c r="J19" s="23"/>
      <c r="K19" s="31" t="s">
        <v>28</v>
      </c>
    </row>
    <row r="20" spans="2:11" s="3" customFormat="1" ht="4.5" customHeight="1" thickBot="1">
      <c r="B20" s="4"/>
      <c r="C20" s="4"/>
      <c r="D20" s="4"/>
      <c r="E20" s="4"/>
      <c r="F20" s="25"/>
      <c r="G20" s="25"/>
      <c r="H20" s="25"/>
      <c r="I20" s="25"/>
      <c r="J20" s="25"/>
      <c r="K20" s="25"/>
    </row>
    <row r="21" spans="2:11" s="3" customFormat="1" ht="27">
      <c r="B21" s="98" t="s">
        <v>29</v>
      </c>
      <c r="C21" s="98"/>
      <c r="D21" s="98"/>
      <c r="E21" s="99"/>
      <c r="F21" s="26" t="s">
        <v>30</v>
      </c>
      <c r="G21" s="26" t="s">
        <v>31</v>
      </c>
      <c r="H21" s="26" t="s">
        <v>32</v>
      </c>
      <c r="I21" s="27" t="s">
        <v>33</v>
      </c>
      <c r="J21" s="27" t="s">
        <v>34</v>
      </c>
      <c r="K21" s="27" t="s">
        <v>35</v>
      </c>
    </row>
    <row r="22" spans="2:11" s="13" customFormat="1" ht="16.5" customHeight="1">
      <c r="B22" s="11"/>
      <c r="C22" s="9" t="s">
        <v>8</v>
      </c>
      <c r="D22" s="11"/>
      <c r="E22" s="12" t="s">
        <v>36</v>
      </c>
      <c r="F22" s="32">
        <v>1357</v>
      </c>
      <c r="G22" s="33">
        <v>20500</v>
      </c>
      <c r="H22" s="33">
        <v>823835856</v>
      </c>
      <c r="I22" s="20" t="s">
        <v>37</v>
      </c>
      <c r="J22" s="20" t="s">
        <v>37</v>
      </c>
      <c r="K22" s="20" t="s">
        <v>37</v>
      </c>
    </row>
    <row r="23" spans="2:11" s="13" customFormat="1" ht="16.5" customHeight="1">
      <c r="B23" s="11"/>
      <c r="C23" s="10"/>
      <c r="D23" s="11"/>
      <c r="E23" s="12" t="s">
        <v>38</v>
      </c>
      <c r="F23" s="32">
        <v>67255</v>
      </c>
      <c r="G23" s="33">
        <v>117759</v>
      </c>
      <c r="H23" s="33">
        <v>1052207980</v>
      </c>
      <c r="I23" s="20" t="s">
        <v>37</v>
      </c>
      <c r="J23" s="20" t="s">
        <v>37</v>
      </c>
      <c r="K23" s="20" t="s">
        <v>37</v>
      </c>
    </row>
    <row r="24" spans="2:11" s="13" customFormat="1" ht="16.5" customHeight="1">
      <c r="B24" s="11"/>
      <c r="C24" s="10"/>
      <c r="D24" s="11"/>
      <c r="E24" s="12" t="s">
        <v>39</v>
      </c>
      <c r="F24" s="32">
        <v>16639</v>
      </c>
      <c r="G24" s="33">
        <v>32672</v>
      </c>
      <c r="H24" s="33">
        <v>212962040</v>
      </c>
      <c r="I24" s="20" t="s">
        <v>37</v>
      </c>
      <c r="J24" s="20" t="s">
        <v>37</v>
      </c>
      <c r="K24" s="20" t="s">
        <v>37</v>
      </c>
    </row>
    <row r="25" spans="2:11" s="13" customFormat="1" ht="16.5" customHeight="1">
      <c r="B25" s="11"/>
      <c r="C25" s="10"/>
      <c r="D25" s="11"/>
      <c r="E25" s="12" t="s">
        <v>40</v>
      </c>
      <c r="F25" s="32">
        <v>33966</v>
      </c>
      <c r="G25" s="33">
        <v>43215</v>
      </c>
      <c r="H25" s="33">
        <v>420943700</v>
      </c>
      <c r="I25" s="20" t="s">
        <v>37</v>
      </c>
      <c r="J25" s="20" t="s">
        <v>37</v>
      </c>
      <c r="K25" s="20" t="s">
        <v>37</v>
      </c>
    </row>
    <row r="26" spans="2:11" s="13" customFormat="1" ht="16.5" customHeight="1">
      <c r="B26" s="11"/>
      <c r="C26" s="10"/>
      <c r="D26" s="11"/>
      <c r="E26" s="16" t="s">
        <v>22</v>
      </c>
      <c r="F26" s="29">
        <f>SUM(F22:F25)</f>
        <v>119217</v>
      </c>
      <c r="G26" s="30">
        <f>SUM(G22:G24)</f>
        <v>170931</v>
      </c>
      <c r="H26" s="30">
        <f>SUM(H22:H25)</f>
        <v>2509949576</v>
      </c>
      <c r="I26" s="30">
        <v>1754919226</v>
      </c>
      <c r="J26" s="30">
        <v>658631737</v>
      </c>
      <c r="K26" s="30">
        <v>96398613</v>
      </c>
    </row>
    <row r="27" spans="2:11" s="13" customFormat="1" ht="16.5" customHeight="1">
      <c r="B27" s="12"/>
      <c r="C27" s="12" t="s">
        <v>9</v>
      </c>
      <c r="D27" s="12"/>
      <c r="E27" s="11"/>
      <c r="F27" s="32">
        <v>2747</v>
      </c>
      <c r="G27" s="20" t="s">
        <v>41</v>
      </c>
      <c r="H27" s="33">
        <v>26313107</v>
      </c>
      <c r="I27" s="33">
        <v>18424222</v>
      </c>
      <c r="J27" s="33">
        <v>6271271</v>
      </c>
      <c r="K27" s="33">
        <v>1617614</v>
      </c>
    </row>
    <row r="28" spans="2:11" s="13" customFormat="1" ht="16.5" customHeight="1">
      <c r="B28" s="112" t="s">
        <v>45</v>
      </c>
      <c r="C28" s="112"/>
      <c r="D28" s="112"/>
      <c r="E28" s="109"/>
      <c r="F28" s="29">
        <f>F26+F27</f>
        <v>121964</v>
      </c>
      <c r="G28" s="30">
        <f>G26</f>
        <v>170931</v>
      </c>
      <c r="H28" s="30">
        <f>H26+H27</f>
        <v>2536262683</v>
      </c>
      <c r="I28" s="30">
        <f>I26+I27</f>
        <v>1773343448</v>
      </c>
      <c r="J28" s="30">
        <f>J26+J27</f>
        <v>664903008</v>
      </c>
      <c r="K28" s="30">
        <f>K26+K27</f>
        <v>98016227</v>
      </c>
    </row>
    <row r="29" spans="3:11" s="13" customFormat="1" ht="16.5" customHeight="1">
      <c r="C29" s="12" t="s">
        <v>42</v>
      </c>
      <c r="D29" s="12"/>
      <c r="F29" s="28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</row>
    <row r="30" spans="3:11" s="13" customFormat="1" ht="16.5" customHeight="1">
      <c r="C30" s="12" t="s">
        <v>43</v>
      </c>
      <c r="D30" s="12"/>
      <c r="F30" s="28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</row>
    <row r="31" spans="3:11" s="13" customFormat="1" ht="16.5" customHeight="1">
      <c r="C31" s="12" t="s">
        <v>44</v>
      </c>
      <c r="D31" s="12"/>
      <c r="F31" s="32">
        <v>2277</v>
      </c>
      <c r="G31" s="20" t="s">
        <v>41</v>
      </c>
      <c r="H31" s="20" t="s">
        <v>41</v>
      </c>
      <c r="I31" s="33">
        <v>248441706</v>
      </c>
      <c r="J31" s="20" t="s">
        <v>41</v>
      </c>
      <c r="K31" s="20" t="s">
        <v>41</v>
      </c>
    </row>
    <row r="32" spans="2:11" s="13" customFormat="1" ht="16.5" customHeight="1">
      <c r="B32" s="108" t="s">
        <v>21</v>
      </c>
      <c r="C32" s="108"/>
      <c r="D32" s="108"/>
      <c r="E32" s="109"/>
      <c r="F32" s="29">
        <f>SUM(F29:F31)</f>
        <v>2277</v>
      </c>
      <c r="G32" s="20" t="s">
        <v>41</v>
      </c>
      <c r="H32" s="20" t="s">
        <v>41</v>
      </c>
      <c r="I32" s="30">
        <f>SUM(I29:I31)</f>
        <v>248441706</v>
      </c>
      <c r="J32" s="20" t="s">
        <v>41</v>
      </c>
      <c r="K32" s="20" t="s">
        <v>41</v>
      </c>
    </row>
    <row r="33" spans="2:11" s="13" customFormat="1" ht="16.5" customHeight="1" thickBot="1">
      <c r="B33" s="110" t="s">
        <v>1</v>
      </c>
      <c r="C33" s="110"/>
      <c r="D33" s="110"/>
      <c r="E33" s="111"/>
      <c r="F33" s="17">
        <f>F28+F32</f>
        <v>124241</v>
      </c>
      <c r="G33" s="18">
        <f>G28</f>
        <v>170931</v>
      </c>
      <c r="H33" s="18">
        <f>H28</f>
        <v>2536262683</v>
      </c>
      <c r="I33" s="18">
        <f>I28+I32</f>
        <v>2021785154</v>
      </c>
      <c r="J33" s="18">
        <f>J28</f>
        <v>664903008</v>
      </c>
      <c r="K33" s="18">
        <f>K28</f>
        <v>98016227</v>
      </c>
    </row>
    <row r="34" s="3" customFormat="1" ht="4.5" customHeight="1"/>
    <row r="35" spans="2:7" s="3" customFormat="1" ht="13.5">
      <c r="B35" s="15" t="s">
        <v>26</v>
      </c>
      <c r="C35" s="14"/>
      <c r="D35" s="14"/>
      <c r="E35" s="14"/>
      <c r="G35" s="8"/>
    </row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</sheetData>
  <sheetProtection/>
  <mergeCells count="8">
    <mergeCell ref="B33:E33"/>
    <mergeCell ref="B21:E21"/>
    <mergeCell ref="B4:E4"/>
    <mergeCell ref="B16:E16"/>
    <mergeCell ref="B28:E28"/>
    <mergeCell ref="B32:E32"/>
    <mergeCell ref="B11:E11"/>
    <mergeCell ref="B15:E15"/>
  </mergeCells>
  <printOptions/>
  <pageMargins left="0.5" right="0.5" top="1.01" bottom="0.5" header="0.85" footer="0.512"/>
  <pageSetup horizontalDpi="600" verticalDpi="600" orientation="portrait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5"/>
  <sheetViews>
    <sheetView showGridLines="0" defaultGridColor="0" zoomScalePageLayoutView="0" colorId="22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28" sqref="M28"/>
    </sheetView>
  </sheetViews>
  <sheetFormatPr defaultColWidth="8.59765625" defaultRowHeight="15"/>
  <cols>
    <col min="1" max="1" width="1.59765625" style="1" customWidth="1"/>
    <col min="2" max="2" width="2.8984375" style="1" customWidth="1"/>
    <col min="3" max="3" width="2.8984375" style="1" bestFit="1" customWidth="1"/>
    <col min="4" max="4" width="6.59765625" style="1" customWidth="1"/>
    <col min="5" max="5" width="14.3984375" style="1" customWidth="1"/>
    <col min="6" max="6" width="11.19921875" style="1" bestFit="1" customWidth="1"/>
    <col min="7" max="7" width="11.19921875" style="1" customWidth="1"/>
    <col min="8" max="8" width="16.19921875" style="1" customWidth="1"/>
    <col min="9" max="9" width="17.3984375" style="1" bestFit="1" customWidth="1"/>
    <col min="10" max="10" width="15.3984375" style="1" customWidth="1"/>
    <col min="11" max="11" width="14.5" style="1" customWidth="1"/>
    <col min="12" max="16384" width="8.59765625" style="1" customWidth="1"/>
  </cols>
  <sheetData>
    <row r="1" spans="2:11" ht="24"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s="3" customFormat="1" ht="13.5">
      <c r="B2" s="9" t="s">
        <v>0</v>
      </c>
      <c r="C2" s="2"/>
      <c r="D2" s="2"/>
      <c r="J2" s="23"/>
      <c r="K2" s="31" t="s">
        <v>27</v>
      </c>
    </row>
    <row r="3" spans="2:11" s="3" customFormat="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s="3" customFormat="1" ht="29.25" customHeight="1">
      <c r="B4" s="98" t="s">
        <v>5</v>
      </c>
      <c r="C4" s="98"/>
      <c r="D4" s="98"/>
      <c r="E4" s="99"/>
      <c r="F4" s="5" t="s">
        <v>3</v>
      </c>
      <c r="G4" s="5" t="s">
        <v>4</v>
      </c>
      <c r="H4" s="5" t="s">
        <v>6</v>
      </c>
      <c r="I4" s="6" t="s">
        <v>17</v>
      </c>
      <c r="J4" s="6" t="s">
        <v>18</v>
      </c>
      <c r="K4" s="6" t="s">
        <v>7</v>
      </c>
    </row>
    <row r="5" spans="2:11" s="13" customFormat="1" ht="16.5" customHeight="1">
      <c r="B5" s="11"/>
      <c r="C5" s="9" t="s">
        <v>8</v>
      </c>
      <c r="D5" s="11"/>
      <c r="E5" s="12" t="s">
        <v>13</v>
      </c>
      <c r="F5" s="32">
        <v>13331</v>
      </c>
      <c r="G5" s="33">
        <v>206631</v>
      </c>
      <c r="H5" s="33">
        <v>6956012922</v>
      </c>
      <c r="I5" s="20" t="s">
        <v>23</v>
      </c>
      <c r="J5" s="20" t="s">
        <v>23</v>
      </c>
      <c r="K5" s="20" t="s">
        <v>23</v>
      </c>
    </row>
    <row r="6" spans="2:11" s="13" customFormat="1" ht="16.5" customHeight="1">
      <c r="B6" s="11"/>
      <c r="C6" s="10"/>
      <c r="D6" s="11"/>
      <c r="E6" s="12" t="s">
        <v>14</v>
      </c>
      <c r="F6" s="32">
        <v>699299</v>
      </c>
      <c r="G6" s="33">
        <v>1234448</v>
      </c>
      <c r="H6" s="33">
        <v>9326711728</v>
      </c>
      <c r="I6" s="20" t="s">
        <v>23</v>
      </c>
      <c r="J6" s="20" t="s">
        <v>23</v>
      </c>
      <c r="K6" s="20" t="s">
        <v>23</v>
      </c>
    </row>
    <row r="7" spans="2:11" s="13" customFormat="1" ht="16.5" customHeight="1">
      <c r="B7" s="11"/>
      <c r="C7" s="10"/>
      <c r="D7" s="11"/>
      <c r="E7" s="12" t="s">
        <v>15</v>
      </c>
      <c r="F7" s="32">
        <v>161000</v>
      </c>
      <c r="G7" s="33">
        <v>318677</v>
      </c>
      <c r="H7" s="33">
        <v>2095785850</v>
      </c>
      <c r="I7" s="20" t="s">
        <v>23</v>
      </c>
      <c r="J7" s="20" t="s">
        <v>23</v>
      </c>
      <c r="K7" s="20" t="s">
        <v>23</v>
      </c>
    </row>
    <row r="8" spans="2:11" s="13" customFormat="1" ht="16.5" customHeight="1">
      <c r="B8" s="11"/>
      <c r="C8" s="10"/>
      <c r="D8" s="11"/>
      <c r="E8" s="12" t="s">
        <v>16</v>
      </c>
      <c r="F8" s="32">
        <v>341268</v>
      </c>
      <c r="G8" s="34">
        <v>449470</v>
      </c>
      <c r="H8" s="33">
        <v>3837729130</v>
      </c>
      <c r="I8" s="20" t="s">
        <v>23</v>
      </c>
      <c r="J8" s="20" t="s">
        <v>23</v>
      </c>
      <c r="K8" s="20" t="s">
        <v>23</v>
      </c>
    </row>
    <row r="9" spans="2:11" s="13" customFormat="1" ht="16.5" customHeight="1">
      <c r="B9" s="11"/>
      <c r="C9" s="10"/>
      <c r="D9" s="11"/>
      <c r="E9" s="16" t="s">
        <v>22</v>
      </c>
      <c r="F9" s="29">
        <f>SUM(F5:F8)</f>
        <v>1214898</v>
      </c>
      <c r="G9" s="30">
        <f>SUM(G5:G7)</f>
        <v>1759756</v>
      </c>
      <c r="H9" s="30">
        <f>SUM(H5:H8)</f>
        <v>22216239630</v>
      </c>
      <c r="I9" s="30">
        <v>16149910603</v>
      </c>
      <c r="J9" s="30">
        <v>4761091014</v>
      </c>
      <c r="K9" s="30">
        <v>1305238013</v>
      </c>
    </row>
    <row r="10" spans="2:11" s="13" customFormat="1" ht="16.5" customHeight="1">
      <c r="B10" s="12"/>
      <c r="C10" s="12" t="s">
        <v>9</v>
      </c>
      <c r="D10" s="12"/>
      <c r="E10" s="11"/>
      <c r="F10" s="32">
        <v>31100</v>
      </c>
      <c r="G10" s="20" t="s">
        <v>23</v>
      </c>
      <c r="H10" s="33">
        <v>312098781</v>
      </c>
      <c r="I10" s="33">
        <v>226720516</v>
      </c>
      <c r="J10" s="33">
        <v>61594982</v>
      </c>
      <c r="K10" s="33">
        <v>23783283</v>
      </c>
    </row>
    <row r="11" spans="2:11" s="13" customFormat="1" ht="16.5" customHeight="1">
      <c r="B11" s="112" t="s">
        <v>19</v>
      </c>
      <c r="C11" s="112"/>
      <c r="D11" s="112"/>
      <c r="E11" s="109"/>
      <c r="F11" s="29">
        <f>F9+F10</f>
        <v>1245998</v>
      </c>
      <c r="G11" s="30">
        <f>G9</f>
        <v>1759756</v>
      </c>
      <c r="H11" s="30">
        <f>H9+H10</f>
        <v>22528338411</v>
      </c>
      <c r="I11" s="30">
        <f>I9+I10</f>
        <v>16376631119</v>
      </c>
      <c r="J11" s="30">
        <f>J9+J10</f>
        <v>4822685996</v>
      </c>
      <c r="K11" s="30">
        <f>K9+K10</f>
        <v>1329021296</v>
      </c>
    </row>
    <row r="12" spans="3:11" s="13" customFormat="1" ht="16.5" customHeight="1">
      <c r="C12" s="12" t="s">
        <v>10</v>
      </c>
      <c r="D12" s="12"/>
      <c r="F12" s="32">
        <v>490</v>
      </c>
      <c r="G12" s="20" t="s">
        <v>23</v>
      </c>
      <c r="H12" s="20" t="s">
        <v>23</v>
      </c>
      <c r="I12" s="33">
        <v>205110000</v>
      </c>
      <c r="J12" s="20" t="s">
        <v>23</v>
      </c>
      <c r="K12" s="20" t="s">
        <v>23</v>
      </c>
    </row>
    <row r="13" spans="3:11" s="13" customFormat="1" ht="16.5" customHeight="1">
      <c r="C13" s="12" t="s">
        <v>11</v>
      </c>
      <c r="D13" s="12"/>
      <c r="F13" s="32">
        <v>435</v>
      </c>
      <c r="G13" s="20" t="s">
        <v>23</v>
      </c>
      <c r="H13" s="20" t="s">
        <v>23</v>
      </c>
      <c r="I13" s="33">
        <v>21750000</v>
      </c>
      <c r="J13" s="20" t="s">
        <v>23</v>
      </c>
      <c r="K13" s="20" t="s">
        <v>23</v>
      </c>
    </row>
    <row r="14" spans="3:11" s="13" customFormat="1" ht="16.5" customHeight="1">
      <c r="C14" s="12" t="s">
        <v>12</v>
      </c>
      <c r="D14" s="12"/>
      <c r="F14" s="32">
        <v>24802</v>
      </c>
      <c r="G14" s="20" t="s">
        <v>23</v>
      </c>
      <c r="H14" s="20" t="s">
        <v>23</v>
      </c>
      <c r="I14" s="33">
        <v>1626474416</v>
      </c>
      <c r="J14" s="20" t="s">
        <v>23</v>
      </c>
      <c r="K14" s="20" t="s">
        <v>23</v>
      </c>
    </row>
    <row r="15" spans="2:11" s="13" customFormat="1" ht="16.5" customHeight="1">
      <c r="B15" s="108" t="s">
        <v>21</v>
      </c>
      <c r="C15" s="108"/>
      <c r="D15" s="108"/>
      <c r="E15" s="109"/>
      <c r="F15" s="29">
        <f>SUM(F12:F14)</f>
        <v>25727</v>
      </c>
      <c r="G15" s="20" t="s">
        <v>23</v>
      </c>
      <c r="H15" s="20" t="s">
        <v>23</v>
      </c>
      <c r="I15" s="30">
        <f>SUM(I12:I14)</f>
        <v>1853334416</v>
      </c>
      <c r="J15" s="20" t="s">
        <v>23</v>
      </c>
      <c r="K15" s="20" t="s">
        <v>23</v>
      </c>
    </row>
    <row r="16" spans="2:11" s="13" customFormat="1" ht="16.5" customHeight="1" thickBot="1">
      <c r="B16" s="110" t="s">
        <v>1</v>
      </c>
      <c r="C16" s="110"/>
      <c r="D16" s="110"/>
      <c r="E16" s="111"/>
      <c r="F16" s="21">
        <f>F11+F15</f>
        <v>1271725</v>
      </c>
      <c r="G16" s="22">
        <f>G11</f>
        <v>1759756</v>
      </c>
      <c r="H16" s="22">
        <f>H11</f>
        <v>22528338411</v>
      </c>
      <c r="I16" s="22">
        <f>I11+I15</f>
        <v>18229965535</v>
      </c>
      <c r="J16" s="22">
        <f>J11</f>
        <v>4822685996</v>
      </c>
      <c r="K16" s="22">
        <f>K11</f>
        <v>1329021296</v>
      </c>
    </row>
    <row r="17" spans="6:11" s="3" customFormat="1" ht="4.5" customHeight="1">
      <c r="F17" s="23"/>
      <c r="G17" s="23"/>
      <c r="H17" s="23"/>
      <c r="I17" s="23"/>
      <c r="J17" s="23"/>
      <c r="K17" s="23"/>
    </row>
    <row r="18" spans="6:11" s="3" customFormat="1" ht="4.5" customHeight="1">
      <c r="F18" s="23"/>
      <c r="G18" s="23"/>
      <c r="H18" s="23"/>
      <c r="I18" s="23"/>
      <c r="J18" s="23"/>
      <c r="K18" s="23"/>
    </row>
    <row r="19" spans="2:11" s="3" customFormat="1" ht="12.75" customHeight="1">
      <c r="B19" s="14" t="s">
        <v>2</v>
      </c>
      <c r="C19" s="7"/>
      <c r="D19" s="7"/>
      <c r="E19" s="7"/>
      <c r="F19" s="24"/>
      <c r="G19" s="23"/>
      <c r="H19" s="23"/>
      <c r="I19" s="23"/>
      <c r="J19" s="23"/>
      <c r="K19" s="31" t="s">
        <v>27</v>
      </c>
    </row>
    <row r="20" spans="2:11" s="3" customFormat="1" ht="4.5" customHeight="1" thickBot="1">
      <c r="B20" s="4"/>
      <c r="C20" s="4"/>
      <c r="D20" s="4"/>
      <c r="E20" s="4"/>
      <c r="F20" s="25"/>
      <c r="G20" s="25"/>
      <c r="H20" s="25"/>
      <c r="I20" s="25"/>
      <c r="J20" s="25"/>
      <c r="K20" s="25"/>
    </row>
    <row r="21" spans="2:11" s="3" customFormat="1" ht="27">
      <c r="B21" s="98" t="s">
        <v>5</v>
      </c>
      <c r="C21" s="98"/>
      <c r="D21" s="98"/>
      <c r="E21" s="99"/>
      <c r="F21" s="26" t="s">
        <v>3</v>
      </c>
      <c r="G21" s="26" t="s">
        <v>4</v>
      </c>
      <c r="H21" s="26" t="s">
        <v>6</v>
      </c>
      <c r="I21" s="27" t="s">
        <v>17</v>
      </c>
      <c r="J21" s="27" t="s">
        <v>18</v>
      </c>
      <c r="K21" s="27" t="s">
        <v>7</v>
      </c>
    </row>
    <row r="22" spans="2:11" s="13" customFormat="1" ht="16.5" customHeight="1">
      <c r="B22" s="11"/>
      <c r="C22" s="9" t="s">
        <v>8</v>
      </c>
      <c r="D22" s="11"/>
      <c r="E22" s="12" t="s">
        <v>13</v>
      </c>
      <c r="F22" s="32">
        <v>1563</v>
      </c>
      <c r="G22" s="33">
        <v>23910</v>
      </c>
      <c r="H22" s="33">
        <v>907651505</v>
      </c>
      <c r="I22" s="20" t="s">
        <v>23</v>
      </c>
      <c r="J22" s="20" t="s">
        <v>23</v>
      </c>
      <c r="K22" s="20" t="s">
        <v>23</v>
      </c>
    </row>
    <row r="23" spans="2:11" s="13" customFormat="1" ht="16.5" customHeight="1">
      <c r="B23" s="11"/>
      <c r="C23" s="10"/>
      <c r="D23" s="11"/>
      <c r="E23" s="12" t="s">
        <v>14</v>
      </c>
      <c r="F23" s="32">
        <v>72816</v>
      </c>
      <c r="G23" s="33">
        <v>130661</v>
      </c>
      <c r="H23" s="33">
        <v>1158378054</v>
      </c>
      <c r="I23" s="20" t="s">
        <v>23</v>
      </c>
      <c r="J23" s="20" t="s">
        <v>23</v>
      </c>
      <c r="K23" s="20" t="s">
        <v>23</v>
      </c>
    </row>
    <row r="24" spans="2:11" s="13" customFormat="1" ht="16.5" customHeight="1">
      <c r="B24" s="11"/>
      <c r="C24" s="10"/>
      <c r="D24" s="11"/>
      <c r="E24" s="12" t="s">
        <v>15</v>
      </c>
      <c r="F24" s="32">
        <v>17650</v>
      </c>
      <c r="G24" s="33">
        <v>35102</v>
      </c>
      <c r="H24" s="33">
        <v>227788410</v>
      </c>
      <c r="I24" s="20" t="s">
        <v>23</v>
      </c>
      <c r="J24" s="20" t="s">
        <v>23</v>
      </c>
      <c r="K24" s="20" t="s">
        <v>23</v>
      </c>
    </row>
    <row r="25" spans="2:11" s="13" customFormat="1" ht="16.5" customHeight="1">
      <c r="B25" s="11"/>
      <c r="C25" s="10"/>
      <c r="D25" s="11"/>
      <c r="E25" s="12" t="s">
        <v>16</v>
      </c>
      <c r="F25" s="32">
        <v>36397</v>
      </c>
      <c r="G25" s="33">
        <v>47141</v>
      </c>
      <c r="H25" s="33">
        <v>442526176</v>
      </c>
      <c r="I25" s="20" t="s">
        <v>23</v>
      </c>
      <c r="J25" s="20" t="s">
        <v>23</v>
      </c>
      <c r="K25" s="20" t="s">
        <v>23</v>
      </c>
    </row>
    <row r="26" spans="2:11" s="13" customFormat="1" ht="16.5" customHeight="1">
      <c r="B26" s="11"/>
      <c r="C26" s="10"/>
      <c r="D26" s="11"/>
      <c r="E26" s="16" t="s">
        <v>22</v>
      </c>
      <c r="F26" s="29">
        <f>SUM(F22:F25)</f>
        <v>128426</v>
      </c>
      <c r="G26" s="30">
        <f>SUM(G22:G24)</f>
        <v>189673</v>
      </c>
      <c r="H26" s="30">
        <f>SUM(H22:H25)</f>
        <v>2736344145</v>
      </c>
      <c r="I26" s="30">
        <v>1913519215</v>
      </c>
      <c r="J26" s="30">
        <v>707789264</v>
      </c>
      <c r="K26" s="30">
        <v>115035666</v>
      </c>
    </row>
    <row r="27" spans="2:11" s="13" customFormat="1" ht="16.5" customHeight="1">
      <c r="B27" s="12"/>
      <c r="C27" s="12" t="s">
        <v>9</v>
      </c>
      <c r="D27" s="12"/>
      <c r="E27" s="11"/>
      <c r="F27" s="32">
        <v>2819</v>
      </c>
      <c r="G27" s="20" t="s">
        <v>24</v>
      </c>
      <c r="H27" s="33">
        <v>30789777</v>
      </c>
      <c r="I27" s="33">
        <v>21558190</v>
      </c>
      <c r="J27" s="33">
        <v>7296902</v>
      </c>
      <c r="K27" s="33">
        <v>1934685</v>
      </c>
    </row>
    <row r="28" spans="2:11" s="13" customFormat="1" ht="16.5" customHeight="1">
      <c r="B28" s="112" t="s">
        <v>20</v>
      </c>
      <c r="C28" s="112"/>
      <c r="D28" s="112"/>
      <c r="E28" s="109"/>
      <c r="F28" s="29">
        <f>F26+F27</f>
        <v>131245</v>
      </c>
      <c r="G28" s="30">
        <f>G26</f>
        <v>189673</v>
      </c>
      <c r="H28" s="30">
        <f>H26+H27</f>
        <v>2767133922</v>
      </c>
      <c r="I28" s="30">
        <f>I26+I27</f>
        <v>1935077405</v>
      </c>
      <c r="J28" s="30">
        <f>J26+J27</f>
        <v>715086166</v>
      </c>
      <c r="K28" s="30">
        <f>K26+K27</f>
        <v>116970351</v>
      </c>
    </row>
    <row r="29" spans="3:11" s="13" customFormat="1" ht="16.5" customHeight="1">
      <c r="C29" s="12" t="s">
        <v>10</v>
      </c>
      <c r="D29" s="12"/>
      <c r="F29" s="28" t="s">
        <v>24</v>
      </c>
      <c r="G29" s="20" t="s">
        <v>23</v>
      </c>
      <c r="H29" s="20" t="s">
        <v>23</v>
      </c>
      <c r="I29" s="20" t="s">
        <v>23</v>
      </c>
      <c r="J29" s="20" t="s">
        <v>23</v>
      </c>
      <c r="K29" s="20" t="s">
        <v>23</v>
      </c>
    </row>
    <row r="30" spans="3:11" s="13" customFormat="1" ht="16.5" customHeight="1">
      <c r="C30" s="12" t="s">
        <v>11</v>
      </c>
      <c r="D30" s="12"/>
      <c r="F30" s="28" t="s">
        <v>24</v>
      </c>
      <c r="G30" s="20" t="s">
        <v>23</v>
      </c>
      <c r="H30" s="20" t="s">
        <v>23</v>
      </c>
      <c r="I30" s="20" t="s">
        <v>23</v>
      </c>
      <c r="J30" s="20" t="s">
        <v>23</v>
      </c>
      <c r="K30" s="20" t="s">
        <v>23</v>
      </c>
    </row>
    <row r="31" spans="3:11" s="13" customFormat="1" ht="16.5" customHeight="1">
      <c r="C31" s="12" t="s">
        <v>12</v>
      </c>
      <c r="D31" s="12"/>
      <c r="F31" s="32">
        <v>2337</v>
      </c>
      <c r="G31" s="20" t="s">
        <v>23</v>
      </c>
      <c r="H31" s="20" t="s">
        <v>23</v>
      </c>
      <c r="I31" s="33">
        <v>255546120</v>
      </c>
      <c r="J31" s="20" t="s">
        <v>23</v>
      </c>
      <c r="K31" s="20" t="s">
        <v>23</v>
      </c>
    </row>
    <row r="32" spans="2:11" s="13" customFormat="1" ht="16.5" customHeight="1">
      <c r="B32" s="108" t="s">
        <v>21</v>
      </c>
      <c r="C32" s="108"/>
      <c r="D32" s="108"/>
      <c r="E32" s="109"/>
      <c r="F32" s="29">
        <f>SUM(F29:F31)</f>
        <v>2337</v>
      </c>
      <c r="G32" s="20" t="s">
        <v>23</v>
      </c>
      <c r="H32" s="20" t="s">
        <v>23</v>
      </c>
      <c r="I32" s="30">
        <f>SUM(I29:I31)</f>
        <v>255546120</v>
      </c>
      <c r="J32" s="20" t="s">
        <v>23</v>
      </c>
      <c r="K32" s="20" t="s">
        <v>23</v>
      </c>
    </row>
    <row r="33" spans="2:11" s="13" customFormat="1" ht="16.5" customHeight="1" thickBot="1">
      <c r="B33" s="110" t="s">
        <v>1</v>
      </c>
      <c r="C33" s="110"/>
      <c r="D33" s="110"/>
      <c r="E33" s="111"/>
      <c r="F33" s="17">
        <f>F28+F32</f>
        <v>133582</v>
      </c>
      <c r="G33" s="18">
        <f>G28</f>
        <v>189673</v>
      </c>
      <c r="H33" s="18">
        <f>H28</f>
        <v>2767133922</v>
      </c>
      <c r="I33" s="18">
        <f>I28+I32</f>
        <v>2190623525</v>
      </c>
      <c r="J33" s="18">
        <f>J28</f>
        <v>715086166</v>
      </c>
      <c r="K33" s="18">
        <f>K28</f>
        <v>116970351</v>
      </c>
    </row>
    <row r="34" s="3" customFormat="1" ht="4.5" customHeight="1"/>
    <row r="35" spans="2:7" s="3" customFormat="1" ht="13.5">
      <c r="B35" s="15" t="s">
        <v>26</v>
      </c>
      <c r="C35" s="14"/>
      <c r="D35" s="14"/>
      <c r="E35" s="14"/>
      <c r="G35" s="8"/>
    </row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</sheetData>
  <sheetProtection/>
  <mergeCells count="8">
    <mergeCell ref="B33:E33"/>
    <mergeCell ref="B21:E21"/>
    <mergeCell ref="B4:E4"/>
    <mergeCell ref="B16:E16"/>
    <mergeCell ref="B28:E28"/>
    <mergeCell ref="B32:E32"/>
    <mergeCell ref="B11:E11"/>
    <mergeCell ref="B15:E15"/>
  </mergeCells>
  <printOptions/>
  <pageMargins left="0.5" right="0.5" top="1.01" bottom="0.5" header="0.85" footer="0.512"/>
  <pageSetup horizontalDpi="600" verticalDpi="600" orientation="portrait" paperSize="9" scale="76" r:id="rId2"/>
  <ignoredErrors>
    <ignoredError sqref="I33 G28 G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K35"/>
  <sheetViews>
    <sheetView showGridLines="0" tabSelected="1" defaultGridColor="0" zoomScale="90" zoomScaleNormal="90" zoomScalePageLayoutView="0" colorId="22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35" sqref="K35"/>
    </sheetView>
  </sheetViews>
  <sheetFormatPr defaultColWidth="8.59765625" defaultRowHeight="15"/>
  <cols>
    <col min="1" max="1" width="1.59765625" style="1" customWidth="1"/>
    <col min="2" max="2" width="2.8984375" style="1" customWidth="1"/>
    <col min="3" max="3" width="2.8984375" style="1" bestFit="1" customWidth="1"/>
    <col min="4" max="4" width="6.59765625" style="1" customWidth="1"/>
    <col min="5" max="5" width="14.3984375" style="1" customWidth="1"/>
    <col min="6" max="6" width="13.69921875" style="1" bestFit="1" customWidth="1"/>
    <col min="7" max="7" width="11.19921875" style="1" customWidth="1"/>
    <col min="8" max="8" width="16.19921875" style="1" customWidth="1"/>
    <col min="9" max="9" width="17.3984375" style="1" bestFit="1" customWidth="1"/>
    <col min="10" max="10" width="15.3984375" style="1" customWidth="1"/>
    <col min="11" max="11" width="14.5" style="1" customWidth="1"/>
    <col min="12" max="16384" width="8.59765625" style="1" customWidth="1"/>
  </cols>
  <sheetData>
    <row r="1" spans="2:11" ht="24">
      <c r="B1" s="19" t="s">
        <v>25</v>
      </c>
      <c r="C1" s="19"/>
      <c r="D1" s="19"/>
      <c r="E1" s="19"/>
      <c r="F1" s="19"/>
      <c r="G1" s="19"/>
      <c r="H1" s="19"/>
      <c r="I1" s="76"/>
      <c r="J1" s="19"/>
      <c r="K1" s="19"/>
    </row>
    <row r="2" spans="2:11" s="3" customFormat="1" ht="13.5">
      <c r="B2" s="9" t="s">
        <v>0</v>
      </c>
      <c r="C2" s="2"/>
      <c r="D2" s="2"/>
      <c r="F2" s="62"/>
      <c r="G2" s="62"/>
      <c r="H2" s="62"/>
      <c r="I2" s="62"/>
      <c r="J2" s="62"/>
      <c r="K2" s="63" t="s">
        <v>56</v>
      </c>
    </row>
    <row r="3" spans="2:11" s="3" customFormat="1" ht="4.5" customHeight="1" thickBot="1">
      <c r="B3" s="4"/>
      <c r="C3" s="4"/>
      <c r="D3" s="4"/>
      <c r="E3" s="4"/>
      <c r="F3" s="64"/>
      <c r="G3" s="64"/>
      <c r="H3" s="64"/>
      <c r="I3" s="64"/>
      <c r="J3" s="64"/>
      <c r="K3" s="64"/>
    </row>
    <row r="4" spans="2:11" s="3" customFormat="1" ht="29.25" customHeight="1">
      <c r="B4" s="98" t="s">
        <v>5</v>
      </c>
      <c r="C4" s="98"/>
      <c r="D4" s="98"/>
      <c r="E4" s="99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13" customFormat="1" ht="16.5" customHeight="1">
      <c r="B5" s="11"/>
      <c r="C5" s="9" t="s">
        <v>8</v>
      </c>
      <c r="D5" s="11"/>
      <c r="E5" s="12" t="s">
        <v>13</v>
      </c>
      <c r="F5" s="67">
        <v>12819</v>
      </c>
      <c r="G5" s="68">
        <v>188486</v>
      </c>
      <c r="H5" s="68">
        <v>7902979095</v>
      </c>
      <c r="I5" s="69" t="s">
        <v>23</v>
      </c>
      <c r="J5" s="69" t="s">
        <v>23</v>
      </c>
      <c r="K5" s="69" t="s">
        <v>23</v>
      </c>
    </row>
    <row r="6" spans="2:11" s="13" customFormat="1" ht="16.5" customHeight="1">
      <c r="B6" s="11"/>
      <c r="C6" s="10"/>
      <c r="D6" s="11"/>
      <c r="E6" s="12" t="s">
        <v>14</v>
      </c>
      <c r="F6" s="67">
        <v>650016</v>
      </c>
      <c r="G6" s="68">
        <v>1018794</v>
      </c>
      <c r="H6" s="68">
        <v>10266715400</v>
      </c>
      <c r="I6" s="69" t="s">
        <v>23</v>
      </c>
      <c r="J6" s="69" t="s">
        <v>23</v>
      </c>
      <c r="K6" s="69" t="s">
        <v>23</v>
      </c>
    </row>
    <row r="7" spans="2:11" s="13" customFormat="1" ht="16.5" customHeight="1">
      <c r="B7" s="11"/>
      <c r="C7" s="10"/>
      <c r="D7" s="11"/>
      <c r="E7" s="12" t="s">
        <v>15</v>
      </c>
      <c r="F7" s="67">
        <v>166107</v>
      </c>
      <c r="G7" s="68">
        <v>263661</v>
      </c>
      <c r="H7" s="68">
        <v>2125698725</v>
      </c>
      <c r="I7" s="69" t="s">
        <v>23</v>
      </c>
      <c r="J7" s="69" t="s">
        <v>23</v>
      </c>
      <c r="K7" s="69" t="s">
        <v>23</v>
      </c>
    </row>
    <row r="8" spans="2:11" s="13" customFormat="1" ht="16.5" customHeight="1">
      <c r="B8" s="11"/>
      <c r="C8" s="10"/>
      <c r="D8" s="11"/>
      <c r="E8" s="12" t="s">
        <v>16</v>
      </c>
      <c r="F8" s="67">
        <v>373918</v>
      </c>
      <c r="G8" s="70">
        <v>440641</v>
      </c>
      <c r="H8" s="68">
        <v>4290222878</v>
      </c>
      <c r="I8" s="69" t="s">
        <v>23</v>
      </c>
      <c r="J8" s="69" t="s">
        <v>23</v>
      </c>
      <c r="K8" s="69" t="s">
        <v>23</v>
      </c>
    </row>
    <row r="9" spans="2:11" s="13" customFormat="1" ht="16.5" customHeight="1">
      <c r="B9" s="11"/>
      <c r="C9" s="10"/>
      <c r="D9" s="11"/>
      <c r="E9" s="77" t="s">
        <v>22</v>
      </c>
      <c r="F9" s="67">
        <f>SUM(F5:F8)</f>
        <v>1202860</v>
      </c>
      <c r="G9" s="68">
        <f>SUM(G5:G8)</f>
        <v>1911582</v>
      </c>
      <c r="H9" s="68">
        <f>SUM(H5:H8)</f>
        <v>24585616098</v>
      </c>
      <c r="I9" s="68">
        <v>18497000208</v>
      </c>
      <c r="J9" s="68">
        <v>5775356361</v>
      </c>
      <c r="K9" s="68">
        <v>946232551</v>
      </c>
    </row>
    <row r="10" spans="2:11" s="13" customFormat="1" ht="16.5" customHeight="1">
      <c r="B10" s="12"/>
      <c r="C10" s="12" t="s">
        <v>9</v>
      </c>
      <c r="D10" s="12"/>
      <c r="E10" s="11"/>
      <c r="F10" s="67">
        <v>22687</v>
      </c>
      <c r="G10" s="69" t="s">
        <v>49</v>
      </c>
      <c r="H10" s="68">
        <v>199500112</v>
      </c>
      <c r="I10" s="68">
        <v>146027113</v>
      </c>
      <c r="J10" s="68">
        <v>41942992</v>
      </c>
      <c r="K10" s="68">
        <v>11530007</v>
      </c>
    </row>
    <row r="11" spans="2:11" s="13" customFormat="1" ht="16.5" customHeight="1">
      <c r="B11" s="100" t="s">
        <v>19</v>
      </c>
      <c r="C11" s="100"/>
      <c r="D11" s="100"/>
      <c r="E11" s="95"/>
      <c r="F11" s="67">
        <f aca="true" t="shared" si="0" ref="F11:K11">F9+F10</f>
        <v>1225547</v>
      </c>
      <c r="G11" s="68">
        <f t="shared" si="0"/>
        <v>1911582</v>
      </c>
      <c r="H11" s="68">
        <f t="shared" si="0"/>
        <v>24785116210</v>
      </c>
      <c r="I11" s="68">
        <f t="shared" si="0"/>
        <v>18643027321</v>
      </c>
      <c r="J11" s="68">
        <f t="shared" si="0"/>
        <v>5817299353</v>
      </c>
      <c r="K11" s="68">
        <f t="shared" si="0"/>
        <v>957762558</v>
      </c>
    </row>
    <row r="12" spans="3:11" s="13" customFormat="1" ht="16.5" customHeight="1">
      <c r="C12" s="12" t="s">
        <v>10</v>
      </c>
      <c r="D12" s="12"/>
      <c r="F12" s="67">
        <v>182</v>
      </c>
      <c r="G12" s="69" t="s">
        <v>49</v>
      </c>
      <c r="H12" s="69" t="s">
        <v>49</v>
      </c>
      <c r="I12" s="68">
        <v>76312000</v>
      </c>
      <c r="J12" s="69" t="s">
        <v>23</v>
      </c>
      <c r="K12" s="69" t="s">
        <v>23</v>
      </c>
    </row>
    <row r="13" spans="3:11" s="13" customFormat="1" ht="16.5" customHeight="1">
      <c r="C13" s="12" t="s">
        <v>11</v>
      </c>
      <c r="D13" s="12"/>
      <c r="F13" s="67">
        <v>419</v>
      </c>
      <c r="G13" s="69" t="s">
        <v>49</v>
      </c>
      <c r="H13" s="69" t="s">
        <v>49</v>
      </c>
      <c r="I13" s="68">
        <v>20950000</v>
      </c>
      <c r="J13" s="69" t="s">
        <v>23</v>
      </c>
      <c r="K13" s="69" t="s">
        <v>23</v>
      </c>
    </row>
    <row r="14" spans="3:11" s="13" customFormat="1" ht="16.5" customHeight="1">
      <c r="C14" s="12" t="s">
        <v>12</v>
      </c>
      <c r="D14" s="12"/>
      <c r="F14" s="67">
        <v>43483</v>
      </c>
      <c r="G14" s="69" t="s">
        <v>23</v>
      </c>
      <c r="H14" s="69" t="s">
        <v>23</v>
      </c>
      <c r="I14" s="68">
        <v>2465044114</v>
      </c>
      <c r="J14" s="69" t="s">
        <v>23</v>
      </c>
      <c r="K14" s="69" t="s">
        <v>23</v>
      </c>
    </row>
    <row r="15" spans="2:11" s="13" customFormat="1" ht="16.5" customHeight="1">
      <c r="B15" s="94" t="s">
        <v>21</v>
      </c>
      <c r="C15" s="94"/>
      <c r="D15" s="94"/>
      <c r="E15" s="95"/>
      <c r="F15" s="67">
        <f>SUM(F12:F14)</f>
        <v>44084</v>
      </c>
      <c r="G15" s="69" t="s">
        <v>23</v>
      </c>
      <c r="H15" s="69" t="s">
        <v>23</v>
      </c>
      <c r="I15" s="68">
        <f>SUM(I12:I14)</f>
        <v>2562306114</v>
      </c>
      <c r="J15" s="69" t="s">
        <v>23</v>
      </c>
      <c r="K15" s="69" t="s">
        <v>23</v>
      </c>
    </row>
    <row r="16" spans="2:11" s="13" customFormat="1" ht="16.5" customHeight="1" thickBot="1">
      <c r="B16" s="96" t="s">
        <v>1</v>
      </c>
      <c r="C16" s="96"/>
      <c r="D16" s="96"/>
      <c r="E16" s="97"/>
      <c r="F16" s="78">
        <f>F11+F15</f>
        <v>1269631</v>
      </c>
      <c r="G16" s="79">
        <f>G11</f>
        <v>1911582</v>
      </c>
      <c r="H16" s="79">
        <f>H11</f>
        <v>24785116210</v>
      </c>
      <c r="I16" s="79">
        <f>I11+I15</f>
        <v>21205333435</v>
      </c>
      <c r="J16" s="79">
        <f>J11</f>
        <v>5817299353</v>
      </c>
      <c r="K16" s="79">
        <f>K11</f>
        <v>957762558</v>
      </c>
    </row>
    <row r="17" spans="6:11" s="3" customFormat="1" ht="4.5" customHeight="1">
      <c r="F17" s="62"/>
      <c r="G17" s="62"/>
      <c r="H17" s="62"/>
      <c r="I17" s="62"/>
      <c r="J17" s="62"/>
      <c r="K17" s="62"/>
    </row>
    <row r="18" spans="6:11" s="3" customFormat="1" ht="4.5" customHeight="1">
      <c r="F18" s="62"/>
      <c r="G18" s="62"/>
      <c r="H18" s="62"/>
      <c r="I18" s="62"/>
      <c r="J18" s="62"/>
      <c r="K18" s="62"/>
    </row>
    <row r="19" spans="2:11" s="3" customFormat="1" ht="12.75" customHeight="1">
      <c r="B19" s="14" t="s">
        <v>2</v>
      </c>
      <c r="C19" s="7"/>
      <c r="D19" s="7"/>
      <c r="E19" s="7"/>
      <c r="F19" s="73"/>
      <c r="G19" s="62"/>
      <c r="H19" s="62"/>
      <c r="I19" s="62"/>
      <c r="J19" s="62"/>
      <c r="K19" s="63" t="s">
        <v>57</v>
      </c>
    </row>
    <row r="20" spans="2:11" s="3" customFormat="1" ht="4.5" customHeight="1" thickBot="1">
      <c r="B20" s="4"/>
      <c r="C20" s="4"/>
      <c r="D20" s="4"/>
      <c r="E20" s="4"/>
      <c r="F20" s="64"/>
      <c r="G20" s="64"/>
      <c r="H20" s="64"/>
      <c r="I20" s="64"/>
      <c r="J20" s="64"/>
      <c r="K20" s="64"/>
    </row>
    <row r="21" spans="2:11" s="3" customFormat="1" ht="27">
      <c r="B21" s="98" t="s">
        <v>5</v>
      </c>
      <c r="C21" s="98"/>
      <c r="D21" s="98"/>
      <c r="E21" s="99"/>
      <c r="F21" s="65" t="s">
        <v>3</v>
      </c>
      <c r="G21" s="65" t="s">
        <v>4</v>
      </c>
      <c r="H21" s="65" t="s">
        <v>6</v>
      </c>
      <c r="I21" s="66" t="s">
        <v>17</v>
      </c>
      <c r="J21" s="66" t="s">
        <v>18</v>
      </c>
      <c r="K21" s="66" t="s">
        <v>7</v>
      </c>
    </row>
    <row r="22" spans="2:11" s="13" customFormat="1" ht="16.5" customHeight="1">
      <c r="B22" s="11"/>
      <c r="C22" s="9" t="s">
        <v>8</v>
      </c>
      <c r="D22" s="11"/>
      <c r="E22" s="12" t="s">
        <v>13</v>
      </c>
      <c r="F22" s="67">
        <v>0</v>
      </c>
      <c r="G22" s="68">
        <v>0</v>
      </c>
      <c r="H22" s="68">
        <v>0</v>
      </c>
      <c r="I22" s="69" t="s">
        <v>23</v>
      </c>
      <c r="J22" s="69" t="s">
        <v>23</v>
      </c>
      <c r="K22" s="69" t="s">
        <v>23</v>
      </c>
    </row>
    <row r="23" spans="2:11" s="13" customFormat="1" ht="16.5" customHeight="1">
      <c r="B23" s="11"/>
      <c r="C23" s="10"/>
      <c r="D23" s="11"/>
      <c r="E23" s="12" t="s">
        <v>14</v>
      </c>
      <c r="F23" s="67">
        <v>1</v>
      </c>
      <c r="G23" s="68">
        <v>1</v>
      </c>
      <c r="H23" s="68">
        <v>16720</v>
      </c>
      <c r="I23" s="69" t="s">
        <v>23</v>
      </c>
      <c r="J23" s="69" t="s">
        <v>23</v>
      </c>
      <c r="K23" s="69" t="s">
        <v>23</v>
      </c>
    </row>
    <row r="24" spans="2:11" s="13" customFormat="1" ht="16.5" customHeight="1">
      <c r="B24" s="11"/>
      <c r="C24" s="10"/>
      <c r="D24" s="11"/>
      <c r="E24" s="12" t="s">
        <v>15</v>
      </c>
      <c r="F24" s="67">
        <v>-1</v>
      </c>
      <c r="G24" s="68">
        <v>-2</v>
      </c>
      <c r="H24" s="68">
        <v>3880</v>
      </c>
      <c r="I24" s="69" t="s">
        <v>23</v>
      </c>
      <c r="J24" s="69" t="s">
        <v>23</v>
      </c>
      <c r="K24" s="69" t="s">
        <v>23</v>
      </c>
    </row>
    <row r="25" spans="2:11" s="13" customFormat="1" ht="16.5" customHeight="1">
      <c r="B25" s="11"/>
      <c r="C25" s="10"/>
      <c r="D25" s="11"/>
      <c r="E25" s="12" t="s">
        <v>16</v>
      </c>
      <c r="F25" s="67">
        <v>0</v>
      </c>
      <c r="G25" s="68">
        <v>0</v>
      </c>
      <c r="H25" s="68">
        <v>0</v>
      </c>
      <c r="I25" s="69" t="s">
        <v>23</v>
      </c>
      <c r="J25" s="69" t="s">
        <v>23</v>
      </c>
      <c r="K25" s="69" t="s">
        <v>23</v>
      </c>
    </row>
    <row r="26" spans="2:11" s="13" customFormat="1" ht="16.5" customHeight="1">
      <c r="B26" s="11"/>
      <c r="C26" s="10"/>
      <c r="D26" s="11"/>
      <c r="E26" s="77" t="s">
        <v>22</v>
      </c>
      <c r="F26" s="67">
        <f>SUM(F22:F25)</f>
        <v>0</v>
      </c>
      <c r="G26" s="68">
        <f>SUM(G22:G25)</f>
        <v>-1</v>
      </c>
      <c r="H26" s="68">
        <f>SUM(H22:H25)</f>
        <v>20600</v>
      </c>
      <c r="I26" s="68">
        <v>0</v>
      </c>
      <c r="J26" s="68">
        <v>0</v>
      </c>
      <c r="K26" s="68">
        <v>0</v>
      </c>
    </row>
    <row r="27" spans="2:11" s="13" customFormat="1" ht="16.5" customHeight="1">
      <c r="B27" s="12"/>
      <c r="C27" s="12" t="s">
        <v>9</v>
      </c>
      <c r="D27" s="12"/>
      <c r="E27" s="11"/>
      <c r="F27" s="67">
        <v>0</v>
      </c>
      <c r="G27" s="69" t="s">
        <v>23</v>
      </c>
      <c r="H27" s="68">
        <v>0</v>
      </c>
      <c r="I27" s="68">
        <v>0</v>
      </c>
      <c r="J27" s="68">
        <v>0</v>
      </c>
      <c r="K27" s="68">
        <v>0</v>
      </c>
    </row>
    <row r="28" spans="2:11" s="13" customFormat="1" ht="16.5" customHeight="1">
      <c r="B28" s="100" t="s">
        <v>20</v>
      </c>
      <c r="C28" s="100"/>
      <c r="D28" s="100"/>
      <c r="E28" s="95"/>
      <c r="F28" s="67">
        <f>F26+F27</f>
        <v>0</v>
      </c>
      <c r="G28" s="68">
        <f>G26</f>
        <v>-1</v>
      </c>
      <c r="H28" s="68">
        <f>H26+H27</f>
        <v>20600</v>
      </c>
      <c r="I28" s="68">
        <f>I26+I27</f>
        <v>0</v>
      </c>
      <c r="J28" s="68">
        <f>J26+J27</f>
        <v>0</v>
      </c>
      <c r="K28" s="68">
        <f>K26+K27</f>
        <v>0</v>
      </c>
    </row>
    <row r="29" spans="3:11" s="13" customFormat="1" ht="16.5" customHeight="1">
      <c r="C29" s="12" t="s">
        <v>10</v>
      </c>
      <c r="D29" s="12"/>
      <c r="F29" s="74" t="s">
        <v>23</v>
      </c>
      <c r="G29" s="69" t="s">
        <v>23</v>
      </c>
      <c r="H29" s="69" t="s">
        <v>23</v>
      </c>
      <c r="I29" s="69" t="s">
        <v>23</v>
      </c>
      <c r="J29" s="69" t="s">
        <v>23</v>
      </c>
      <c r="K29" s="69" t="s">
        <v>23</v>
      </c>
    </row>
    <row r="30" spans="3:11" s="13" customFormat="1" ht="16.5" customHeight="1">
      <c r="C30" s="12" t="s">
        <v>11</v>
      </c>
      <c r="D30" s="12"/>
      <c r="F30" s="74" t="s">
        <v>23</v>
      </c>
      <c r="G30" s="69" t="s">
        <v>23</v>
      </c>
      <c r="H30" s="69" t="s">
        <v>23</v>
      </c>
      <c r="I30" s="69" t="s">
        <v>23</v>
      </c>
      <c r="J30" s="69" t="s">
        <v>23</v>
      </c>
      <c r="K30" s="69" t="s">
        <v>23</v>
      </c>
    </row>
    <row r="31" spans="3:11" s="13" customFormat="1" ht="16.5" customHeight="1">
      <c r="C31" s="12" t="s">
        <v>12</v>
      </c>
      <c r="D31" s="12"/>
      <c r="F31" s="67">
        <v>0</v>
      </c>
      <c r="G31" s="69" t="s">
        <v>23</v>
      </c>
      <c r="H31" s="69" t="s">
        <v>23</v>
      </c>
      <c r="I31" s="68">
        <v>0</v>
      </c>
      <c r="J31" s="69" t="s">
        <v>23</v>
      </c>
      <c r="K31" s="69" t="s">
        <v>23</v>
      </c>
    </row>
    <row r="32" spans="2:11" s="13" customFormat="1" ht="16.5" customHeight="1">
      <c r="B32" s="94" t="s">
        <v>21</v>
      </c>
      <c r="C32" s="94"/>
      <c r="D32" s="94"/>
      <c r="E32" s="95"/>
      <c r="F32" s="67">
        <f>SUM(F29:F31)</f>
        <v>0</v>
      </c>
      <c r="G32" s="69" t="s">
        <v>23</v>
      </c>
      <c r="H32" s="69" t="s">
        <v>23</v>
      </c>
      <c r="I32" s="68">
        <f>SUM(I29:I31)</f>
        <v>0</v>
      </c>
      <c r="J32" s="69" t="s">
        <v>23</v>
      </c>
      <c r="K32" s="69" t="s">
        <v>23</v>
      </c>
    </row>
    <row r="33" spans="2:11" s="13" customFormat="1" ht="16.5" customHeight="1" thickBot="1">
      <c r="B33" s="96" t="s">
        <v>1</v>
      </c>
      <c r="C33" s="96"/>
      <c r="D33" s="96"/>
      <c r="E33" s="97"/>
      <c r="F33" s="78">
        <f>F28+F32</f>
        <v>0</v>
      </c>
      <c r="G33" s="79">
        <f>G28</f>
        <v>-1</v>
      </c>
      <c r="H33" s="79">
        <f>H28</f>
        <v>20600</v>
      </c>
      <c r="I33" s="79">
        <f>I28+I32</f>
        <v>0</v>
      </c>
      <c r="J33" s="79">
        <f>J28</f>
        <v>0</v>
      </c>
      <c r="K33" s="79">
        <f>K28</f>
        <v>0</v>
      </c>
    </row>
    <row r="34" s="3" customFormat="1" ht="4.5" customHeight="1"/>
    <row r="35" spans="2:7" s="3" customFormat="1" ht="13.5">
      <c r="B35" s="15" t="s">
        <v>26</v>
      </c>
      <c r="C35" s="14"/>
      <c r="D35" s="14"/>
      <c r="E35" s="14"/>
      <c r="G35" s="8"/>
    </row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fitToHeight="0" fitToWidth="1" horizontalDpi="600" verticalDpi="600" orientation="portrait" paperSize="9" scale="74" r:id="rId2"/>
  <ignoredErrors>
    <ignoredError sqref="I16 I33 G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K35"/>
  <sheetViews>
    <sheetView showGridLines="0" defaultGridColor="0" zoomScalePageLayoutView="0" colorId="22" workbookViewId="0" topLeftCell="A1">
      <pane xSplit="5" ySplit="4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12" sqref="G12"/>
    </sheetView>
  </sheetViews>
  <sheetFormatPr defaultColWidth="8.59765625" defaultRowHeight="15"/>
  <cols>
    <col min="1" max="1" width="1.59765625" style="84" customWidth="1"/>
    <col min="2" max="2" width="2.8984375" style="84" customWidth="1"/>
    <col min="3" max="3" width="2.8984375" style="84" bestFit="1" customWidth="1"/>
    <col min="4" max="4" width="6.59765625" style="84" customWidth="1"/>
    <col min="5" max="5" width="14.3984375" style="84" customWidth="1"/>
    <col min="6" max="6" width="13.69921875" style="84" bestFit="1" customWidth="1"/>
    <col min="7" max="7" width="11.19921875" style="84" customWidth="1"/>
    <col min="8" max="8" width="16.19921875" style="84" customWidth="1"/>
    <col min="9" max="9" width="17.3984375" style="84" bestFit="1" customWidth="1"/>
    <col min="10" max="10" width="15.3984375" style="84" customWidth="1"/>
    <col min="11" max="11" width="14.5" style="84" customWidth="1"/>
    <col min="12" max="16384" width="8.59765625" style="84" customWidth="1"/>
  </cols>
  <sheetData>
    <row r="1" spans="2:11" ht="24">
      <c r="B1" s="82" t="s">
        <v>25</v>
      </c>
      <c r="C1" s="82"/>
      <c r="D1" s="82"/>
      <c r="E1" s="82"/>
      <c r="F1" s="82"/>
      <c r="G1" s="82"/>
      <c r="H1" s="82"/>
      <c r="I1" s="83"/>
      <c r="J1" s="82"/>
      <c r="K1" s="82"/>
    </row>
    <row r="2" spans="2:11" s="62" customFormat="1" ht="13.5">
      <c r="B2" s="85" t="s">
        <v>0</v>
      </c>
      <c r="C2" s="86"/>
      <c r="D2" s="86"/>
      <c r="K2" s="63" t="s">
        <v>55</v>
      </c>
    </row>
    <row r="3" spans="2:11" s="62" customFormat="1" ht="4.5" customHeight="1" thickBot="1"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2:11" s="62" customFormat="1" ht="29.25" customHeight="1">
      <c r="B4" s="105" t="s">
        <v>5</v>
      </c>
      <c r="C4" s="105"/>
      <c r="D4" s="105"/>
      <c r="E4" s="106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89" customFormat="1" ht="16.5" customHeight="1">
      <c r="B5" s="87"/>
      <c r="C5" s="85" t="s">
        <v>8</v>
      </c>
      <c r="D5" s="87"/>
      <c r="E5" s="88" t="s">
        <v>13</v>
      </c>
      <c r="F5" s="67">
        <v>12588</v>
      </c>
      <c r="G5" s="68">
        <v>187031</v>
      </c>
      <c r="H5" s="68">
        <f>7345808689+320250100</f>
        <v>7666058789</v>
      </c>
      <c r="I5" s="69" t="s">
        <v>23</v>
      </c>
      <c r="J5" s="69" t="s">
        <v>23</v>
      </c>
      <c r="K5" s="69" t="s">
        <v>23</v>
      </c>
    </row>
    <row r="6" spans="2:11" s="89" customFormat="1" ht="16.5" customHeight="1">
      <c r="B6" s="87"/>
      <c r="C6" s="90"/>
      <c r="D6" s="87"/>
      <c r="E6" s="88" t="s">
        <v>14</v>
      </c>
      <c r="F6" s="67">
        <f>623984+2038</f>
        <v>626022</v>
      </c>
      <c r="G6" s="68">
        <f>973633+17228</f>
        <v>990861</v>
      </c>
      <c r="H6" s="68">
        <f>9713387626+211261360</f>
        <v>9924648986</v>
      </c>
      <c r="I6" s="69" t="s">
        <v>23</v>
      </c>
      <c r="J6" s="69" t="s">
        <v>23</v>
      </c>
      <c r="K6" s="69" t="s">
        <v>23</v>
      </c>
    </row>
    <row r="7" spans="2:11" s="89" customFormat="1" ht="16.5" customHeight="1">
      <c r="B7" s="87"/>
      <c r="C7" s="90"/>
      <c r="D7" s="87"/>
      <c r="E7" s="88" t="s">
        <v>15</v>
      </c>
      <c r="F7" s="67">
        <v>157070</v>
      </c>
      <c r="G7" s="68">
        <v>257467</v>
      </c>
      <c r="H7" s="68">
        <v>2029103914</v>
      </c>
      <c r="I7" s="69" t="s">
        <v>23</v>
      </c>
      <c r="J7" s="69" t="s">
        <v>23</v>
      </c>
      <c r="K7" s="69" t="s">
        <v>23</v>
      </c>
    </row>
    <row r="8" spans="2:11" s="89" customFormat="1" ht="16.5" customHeight="1">
      <c r="B8" s="87"/>
      <c r="C8" s="90"/>
      <c r="D8" s="87"/>
      <c r="E8" s="88" t="s">
        <v>16</v>
      </c>
      <c r="F8" s="67">
        <v>353918</v>
      </c>
      <c r="G8" s="70">
        <v>416216</v>
      </c>
      <c r="H8" s="68">
        <v>4075557383</v>
      </c>
      <c r="I8" s="69" t="s">
        <v>23</v>
      </c>
      <c r="J8" s="69" t="s">
        <v>23</v>
      </c>
      <c r="K8" s="69" t="s">
        <v>23</v>
      </c>
    </row>
    <row r="9" spans="2:11" s="89" customFormat="1" ht="16.5" customHeight="1">
      <c r="B9" s="87"/>
      <c r="C9" s="90"/>
      <c r="D9" s="87"/>
      <c r="E9" s="91" t="s">
        <v>22</v>
      </c>
      <c r="F9" s="67">
        <f>SUM(F5:F8)</f>
        <v>1149598</v>
      </c>
      <c r="G9" s="68">
        <f>SUM(G5:G8)</f>
        <v>1851575</v>
      </c>
      <c r="H9" s="68">
        <f>SUM(H5:H8)</f>
        <v>23695369072</v>
      </c>
      <c r="I9" s="68">
        <v>17320250578</v>
      </c>
      <c r="J9" s="68">
        <v>5467180793</v>
      </c>
      <c r="K9" s="68">
        <v>907937701</v>
      </c>
    </row>
    <row r="10" spans="2:11" s="89" customFormat="1" ht="16.5" customHeight="1">
      <c r="B10" s="88"/>
      <c r="C10" s="88" t="s">
        <v>9</v>
      </c>
      <c r="D10" s="88"/>
      <c r="E10" s="87"/>
      <c r="F10" s="67">
        <v>22124</v>
      </c>
      <c r="G10" s="69" t="s">
        <v>49</v>
      </c>
      <c r="H10" s="68">
        <v>195736666</v>
      </c>
      <c r="I10" s="68">
        <v>142990597</v>
      </c>
      <c r="J10" s="68">
        <v>417776159</v>
      </c>
      <c r="K10" s="68">
        <v>10969910</v>
      </c>
    </row>
    <row r="11" spans="2:11" s="89" customFormat="1" ht="16.5" customHeight="1">
      <c r="B11" s="107" t="s">
        <v>19</v>
      </c>
      <c r="C11" s="107"/>
      <c r="D11" s="107"/>
      <c r="E11" s="102"/>
      <c r="F11" s="67">
        <f aca="true" t="shared" si="0" ref="F11:K11">F9+F10</f>
        <v>1171722</v>
      </c>
      <c r="G11" s="68">
        <f t="shared" si="0"/>
        <v>1851575</v>
      </c>
      <c r="H11" s="68">
        <f t="shared" si="0"/>
        <v>23891105738</v>
      </c>
      <c r="I11" s="68">
        <f t="shared" si="0"/>
        <v>17463241175</v>
      </c>
      <c r="J11" s="68">
        <f t="shared" si="0"/>
        <v>5884956952</v>
      </c>
      <c r="K11" s="68">
        <f t="shared" si="0"/>
        <v>918907611</v>
      </c>
    </row>
    <row r="12" spans="3:11" s="89" customFormat="1" ht="16.5" customHeight="1">
      <c r="C12" s="88" t="s">
        <v>10</v>
      </c>
      <c r="D12" s="88"/>
      <c r="F12" s="67">
        <v>221</v>
      </c>
      <c r="G12" s="69" t="s">
        <v>49</v>
      </c>
      <c r="H12" s="69" t="s">
        <v>49</v>
      </c>
      <c r="I12" s="68">
        <v>92756000</v>
      </c>
      <c r="J12" s="69" t="s">
        <v>23</v>
      </c>
      <c r="K12" s="69" t="s">
        <v>23</v>
      </c>
    </row>
    <row r="13" spans="3:11" s="89" customFormat="1" ht="16.5" customHeight="1">
      <c r="C13" s="88" t="s">
        <v>11</v>
      </c>
      <c r="D13" s="88"/>
      <c r="F13" s="67">
        <v>363</v>
      </c>
      <c r="G13" s="69" t="s">
        <v>49</v>
      </c>
      <c r="H13" s="69" t="s">
        <v>49</v>
      </c>
      <c r="I13" s="68">
        <v>18150000</v>
      </c>
      <c r="J13" s="69" t="s">
        <v>23</v>
      </c>
      <c r="K13" s="69" t="s">
        <v>23</v>
      </c>
    </row>
    <row r="14" spans="3:11" s="89" customFormat="1" ht="16.5" customHeight="1">
      <c r="C14" s="88" t="s">
        <v>12</v>
      </c>
      <c r="D14" s="88"/>
      <c r="F14" s="67">
        <v>38212</v>
      </c>
      <c r="G14" s="69" t="s">
        <v>23</v>
      </c>
      <c r="H14" s="69" t="s">
        <v>23</v>
      </c>
      <c r="I14" s="68">
        <f>2281241785+1975760</f>
        <v>2283217545</v>
      </c>
      <c r="J14" s="69" t="s">
        <v>23</v>
      </c>
      <c r="K14" s="69" t="s">
        <v>23</v>
      </c>
    </row>
    <row r="15" spans="2:11" s="89" customFormat="1" ht="16.5" customHeight="1">
      <c r="B15" s="101" t="s">
        <v>21</v>
      </c>
      <c r="C15" s="101"/>
      <c r="D15" s="101"/>
      <c r="E15" s="102"/>
      <c r="F15" s="67">
        <f>SUM(F12:F14)</f>
        <v>38796</v>
      </c>
      <c r="G15" s="69" t="s">
        <v>23</v>
      </c>
      <c r="H15" s="69" t="s">
        <v>23</v>
      </c>
      <c r="I15" s="68">
        <f>SUM(I12:I14)</f>
        <v>2394123545</v>
      </c>
      <c r="J15" s="69" t="s">
        <v>23</v>
      </c>
      <c r="K15" s="69" t="s">
        <v>23</v>
      </c>
    </row>
    <row r="16" spans="2:11" s="89" customFormat="1" ht="16.5" customHeight="1" thickBot="1">
      <c r="B16" s="103" t="s">
        <v>1</v>
      </c>
      <c r="C16" s="103"/>
      <c r="D16" s="103"/>
      <c r="E16" s="104"/>
      <c r="F16" s="78">
        <f>F11+F15</f>
        <v>1210518</v>
      </c>
      <c r="G16" s="79">
        <f>G11</f>
        <v>1851575</v>
      </c>
      <c r="H16" s="79">
        <f>H11</f>
        <v>23891105738</v>
      </c>
      <c r="I16" s="79">
        <f>I11+I15</f>
        <v>19857364720</v>
      </c>
      <c r="J16" s="79">
        <f>J11</f>
        <v>5884956952</v>
      </c>
      <c r="K16" s="79">
        <f>K11</f>
        <v>918907611</v>
      </c>
    </row>
    <row r="17" s="62" customFormat="1" ht="4.5" customHeight="1"/>
    <row r="18" s="62" customFormat="1" ht="4.5" customHeight="1"/>
    <row r="19" spans="2:11" s="62" customFormat="1" ht="12.75" customHeight="1">
      <c r="B19" s="92" t="s">
        <v>2</v>
      </c>
      <c r="C19" s="73"/>
      <c r="D19" s="73"/>
      <c r="E19" s="73"/>
      <c r="F19" s="73"/>
      <c r="K19" s="63" t="s">
        <v>54</v>
      </c>
    </row>
    <row r="20" spans="2:11" s="62" customFormat="1" ht="4.5" customHeight="1" thickBot="1"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2:11" s="62" customFormat="1" ht="27">
      <c r="B21" s="105" t="s">
        <v>5</v>
      </c>
      <c r="C21" s="105"/>
      <c r="D21" s="105"/>
      <c r="E21" s="106"/>
      <c r="F21" s="65" t="s">
        <v>3</v>
      </c>
      <c r="G21" s="65" t="s">
        <v>4</v>
      </c>
      <c r="H21" s="65" t="s">
        <v>6</v>
      </c>
      <c r="I21" s="66" t="s">
        <v>17</v>
      </c>
      <c r="J21" s="66" t="s">
        <v>18</v>
      </c>
      <c r="K21" s="66" t="s">
        <v>7</v>
      </c>
    </row>
    <row r="22" spans="2:11" s="89" customFormat="1" ht="16.5" customHeight="1">
      <c r="B22" s="87"/>
      <c r="C22" s="85" t="s">
        <v>8</v>
      </c>
      <c r="D22" s="87"/>
      <c r="E22" s="88" t="s">
        <v>13</v>
      </c>
      <c r="F22" s="67">
        <v>0</v>
      </c>
      <c r="G22" s="68">
        <v>0</v>
      </c>
      <c r="H22" s="68">
        <v>0</v>
      </c>
      <c r="I22" s="69" t="s">
        <v>23</v>
      </c>
      <c r="J22" s="69" t="s">
        <v>23</v>
      </c>
      <c r="K22" s="69" t="s">
        <v>23</v>
      </c>
    </row>
    <row r="23" spans="2:11" s="89" customFormat="1" ht="16.5" customHeight="1">
      <c r="B23" s="87"/>
      <c r="C23" s="90"/>
      <c r="D23" s="87"/>
      <c r="E23" s="88" t="s">
        <v>14</v>
      </c>
      <c r="F23" s="67">
        <f>9+1</f>
        <v>10</v>
      </c>
      <c r="G23" s="68">
        <f>16+1</f>
        <v>17</v>
      </c>
      <c r="H23" s="68">
        <f>113340+10280</f>
        <v>123620</v>
      </c>
      <c r="I23" s="69" t="s">
        <v>23</v>
      </c>
      <c r="J23" s="69" t="s">
        <v>23</v>
      </c>
      <c r="K23" s="69" t="s">
        <v>23</v>
      </c>
    </row>
    <row r="24" spans="2:11" s="89" customFormat="1" ht="16.5" customHeight="1">
      <c r="B24" s="87"/>
      <c r="C24" s="90"/>
      <c r="D24" s="87"/>
      <c r="E24" s="88" t="s">
        <v>15</v>
      </c>
      <c r="F24" s="67">
        <f>5+(-1)</f>
        <v>4</v>
      </c>
      <c r="G24" s="68">
        <f>13+(-1)</f>
        <v>12</v>
      </c>
      <c r="H24" s="68">
        <f>157230+(-13230)</f>
        <v>144000</v>
      </c>
      <c r="I24" s="69" t="s">
        <v>23</v>
      </c>
      <c r="J24" s="69" t="s">
        <v>23</v>
      </c>
      <c r="K24" s="69" t="s">
        <v>23</v>
      </c>
    </row>
    <row r="25" spans="2:11" s="89" customFormat="1" ht="16.5" customHeight="1">
      <c r="B25" s="87"/>
      <c r="C25" s="90"/>
      <c r="D25" s="87"/>
      <c r="E25" s="88" t="s">
        <v>16</v>
      </c>
      <c r="F25" s="67">
        <v>6</v>
      </c>
      <c r="G25" s="68">
        <v>7</v>
      </c>
      <c r="H25" s="68">
        <v>33500</v>
      </c>
      <c r="I25" s="69" t="s">
        <v>23</v>
      </c>
      <c r="J25" s="69" t="s">
        <v>23</v>
      </c>
      <c r="K25" s="69" t="s">
        <v>23</v>
      </c>
    </row>
    <row r="26" spans="2:11" s="89" customFormat="1" ht="16.5" customHeight="1">
      <c r="B26" s="87"/>
      <c r="C26" s="90"/>
      <c r="D26" s="87"/>
      <c r="E26" s="91" t="s">
        <v>22</v>
      </c>
      <c r="F26" s="67">
        <f>SUM(F22:F25)</f>
        <v>20</v>
      </c>
      <c r="G26" s="68">
        <f>SUM(G22:G25)</f>
        <v>36</v>
      </c>
      <c r="H26" s="68">
        <f>SUM(H22:H25)</f>
        <v>301120</v>
      </c>
      <c r="I26" s="68">
        <v>210784</v>
      </c>
      <c r="J26" s="68">
        <v>90336</v>
      </c>
      <c r="K26" s="68">
        <v>0</v>
      </c>
    </row>
    <row r="27" spans="2:11" s="89" customFormat="1" ht="16.5" customHeight="1">
      <c r="B27" s="88"/>
      <c r="C27" s="88" t="s">
        <v>9</v>
      </c>
      <c r="D27" s="88"/>
      <c r="E27" s="87"/>
      <c r="F27" s="67">
        <v>5</v>
      </c>
      <c r="G27" s="69" t="s">
        <v>23</v>
      </c>
      <c r="H27" s="68">
        <v>39610</v>
      </c>
      <c r="I27" s="68">
        <v>27727</v>
      </c>
      <c r="J27" s="68">
        <v>11883</v>
      </c>
      <c r="K27" s="68">
        <v>0</v>
      </c>
    </row>
    <row r="28" spans="2:11" s="89" customFormat="1" ht="16.5" customHeight="1">
      <c r="B28" s="107" t="s">
        <v>20</v>
      </c>
      <c r="C28" s="107"/>
      <c r="D28" s="107"/>
      <c r="E28" s="102"/>
      <c r="F28" s="67">
        <f>F26+F27</f>
        <v>25</v>
      </c>
      <c r="G28" s="68">
        <f>G26</f>
        <v>36</v>
      </c>
      <c r="H28" s="68">
        <f>H26+H27</f>
        <v>340730</v>
      </c>
      <c r="I28" s="68">
        <f>I26+I27</f>
        <v>238511</v>
      </c>
      <c r="J28" s="68">
        <f>J26+J27</f>
        <v>102219</v>
      </c>
      <c r="K28" s="68">
        <f>K26+K27</f>
        <v>0</v>
      </c>
    </row>
    <row r="29" spans="3:11" s="89" customFormat="1" ht="16.5" customHeight="1">
      <c r="C29" s="88" t="s">
        <v>10</v>
      </c>
      <c r="D29" s="88"/>
      <c r="F29" s="74" t="s">
        <v>23</v>
      </c>
      <c r="G29" s="69" t="s">
        <v>23</v>
      </c>
      <c r="H29" s="69" t="s">
        <v>23</v>
      </c>
      <c r="I29" s="69" t="s">
        <v>23</v>
      </c>
      <c r="J29" s="69" t="s">
        <v>23</v>
      </c>
      <c r="K29" s="69" t="s">
        <v>23</v>
      </c>
    </row>
    <row r="30" spans="3:11" s="89" customFormat="1" ht="16.5" customHeight="1">
      <c r="C30" s="88" t="s">
        <v>11</v>
      </c>
      <c r="D30" s="88"/>
      <c r="F30" s="74" t="s">
        <v>23</v>
      </c>
      <c r="G30" s="69" t="s">
        <v>23</v>
      </c>
      <c r="H30" s="69" t="s">
        <v>23</v>
      </c>
      <c r="I30" s="69" t="s">
        <v>23</v>
      </c>
      <c r="J30" s="69" t="s">
        <v>23</v>
      </c>
      <c r="K30" s="69" t="s">
        <v>23</v>
      </c>
    </row>
    <row r="31" spans="3:11" s="89" customFormat="1" ht="16.5" customHeight="1">
      <c r="C31" s="88" t="s">
        <v>12</v>
      </c>
      <c r="D31" s="88"/>
      <c r="F31" s="67">
        <v>0</v>
      </c>
      <c r="G31" s="69" t="s">
        <v>23</v>
      </c>
      <c r="H31" s="69" t="s">
        <v>23</v>
      </c>
      <c r="I31" s="68">
        <v>0</v>
      </c>
      <c r="J31" s="69" t="s">
        <v>23</v>
      </c>
      <c r="K31" s="69" t="s">
        <v>23</v>
      </c>
    </row>
    <row r="32" spans="2:11" s="89" customFormat="1" ht="16.5" customHeight="1">
      <c r="B32" s="101" t="s">
        <v>21</v>
      </c>
      <c r="C32" s="101"/>
      <c r="D32" s="101"/>
      <c r="E32" s="102"/>
      <c r="F32" s="67">
        <f>SUM(F29:F31)</f>
        <v>0</v>
      </c>
      <c r="G32" s="69" t="s">
        <v>23</v>
      </c>
      <c r="H32" s="69" t="s">
        <v>23</v>
      </c>
      <c r="I32" s="68">
        <f>SUM(I29:I31)</f>
        <v>0</v>
      </c>
      <c r="J32" s="69" t="s">
        <v>23</v>
      </c>
      <c r="K32" s="69" t="s">
        <v>23</v>
      </c>
    </row>
    <row r="33" spans="2:11" s="89" customFormat="1" ht="16.5" customHeight="1" thickBot="1">
      <c r="B33" s="103" t="s">
        <v>1</v>
      </c>
      <c r="C33" s="103"/>
      <c r="D33" s="103"/>
      <c r="E33" s="104"/>
      <c r="F33" s="78">
        <f>F28+F32</f>
        <v>25</v>
      </c>
      <c r="G33" s="79">
        <f>G28</f>
        <v>36</v>
      </c>
      <c r="H33" s="79">
        <f>H28</f>
        <v>340730</v>
      </c>
      <c r="I33" s="79">
        <f>I28+I32</f>
        <v>238511</v>
      </c>
      <c r="J33" s="79">
        <f>J28</f>
        <v>102219</v>
      </c>
      <c r="K33" s="79">
        <f>K28</f>
        <v>0</v>
      </c>
    </row>
    <row r="34" s="62" customFormat="1" ht="4.5" customHeight="1"/>
    <row r="35" spans="2:7" s="62" customFormat="1" ht="13.5">
      <c r="B35" s="93" t="s">
        <v>26</v>
      </c>
      <c r="C35" s="92"/>
      <c r="D35" s="92"/>
      <c r="E35" s="92"/>
      <c r="G35" s="75"/>
    </row>
    <row r="36" s="62" customFormat="1" ht="13.5"/>
    <row r="37" s="62" customFormat="1" ht="13.5"/>
    <row r="38" s="62" customFormat="1" ht="13.5"/>
    <row r="39" s="62" customFormat="1" ht="13.5"/>
    <row r="40" s="62" customFormat="1" ht="13.5"/>
    <row r="41" s="62" customFormat="1" ht="13.5"/>
    <row r="42" s="62" customFormat="1" ht="13.5"/>
    <row r="43" s="62" customFormat="1" ht="13.5"/>
    <row r="44" s="62" customFormat="1" ht="13.5"/>
    <row r="45" s="62" customFormat="1" ht="13.5"/>
    <row r="46" s="62" customFormat="1" ht="13.5"/>
    <row r="47" s="62" customFormat="1" ht="13.5"/>
    <row r="48" s="62" customFormat="1" ht="13.5"/>
    <row r="49" s="62" customFormat="1" ht="13.5"/>
    <row r="50" s="62" customFormat="1" ht="13.5"/>
    <row r="51" s="62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fitToHeight="0" fitToWidth="1" horizontalDpi="600" verticalDpi="600" orientation="portrait" paperSize="9" scale="74" r:id="rId2"/>
  <ignoredErrors>
    <ignoredError sqref="I33 G28 I1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K35"/>
  <sheetViews>
    <sheetView showGridLines="0" defaultGridColor="0" zoomScalePageLayoutView="0" colorId="22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26" sqref="G26"/>
    </sheetView>
  </sheetViews>
  <sheetFormatPr defaultColWidth="8.59765625" defaultRowHeight="15"/>
  <cols>
    <col min="1" max="1" width="1.59765625" style="84" customWidth="1"/>
    <col min="2" max="2" width="2.8984375" style="84" customWidth="1"/>
    <col min="3" max="3" width="2.8984375" style="84" bestFit="1" customWidth="1"/>
    <col min="4" max="4" width="6.59765625" style="84" customWidth="1"/>
    <col min="5" max="5" width="14.3984375" style="84" customWidth="1"/>
    <col min="6" max="6" width="13.69921875" style="84" bestFit="1" customWidth="1"/>
    <col min="7" max="7" width="11.19921875" style="84" customWidth="1"/>
    <col min="8" max="8" width="16.19921875" style="84" customWidth="1"/>
    <col min="9" max="9" width="17.3984375" style="84" bestFit="1" customWidth="1"/>
    <col min="10" max="10" width="15.3984375" style="84" customWidth="1"/>
    <col min="11" max="11" width="14.5" style="84" customWidth="1"/>
    <col min="12" max="16384" width="8.59765625" style="84" customWidth="1"/>
  </cols>
  <sheetData>
    <row r="1" spans="2:11" ht="24">
      <c r="B1" s="82" t="s">
        <v>25</v>
      </c>
      <c r="C1" s="82"/>
      <c r="D1" s="82"/>
      <c r="E1" s="82"/>
      <c r="F1" s="82"/>
      <c r="G1" s="82"/>
      <c r="H1" s="82"/>
      <c r="I1" s="83"/>
      <c r="J1" s="82"/>
      <c r="K1" s="82"/>
    </row>
    <row r="2" spans="2:11" s="62" customFormat="1" ht="13.5">
      <c r="B2" s="85" t="s">
        <v>0</v>
      </c>
      <c r="C2" s="86"/>
      <c r="D2" s="86"/>
      <c r="K2" s="63" t="s">
        <v>53</v>
      </c>
    </row>
    <row r="3" spans="2:11" s="62" customFormat="1" ht="4.5" customHeight="1" thickBot="1"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2:11" s="62" customFormat="1" ht="29.25" customHeight="1">
      <c r="B4" s="105" t="s">
        <v>5</v>
      </c>
      <c r="C4" s="105"/>
      <c r="D4" s="105"/>
      <c r="E4" s="106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89" customFormat="1" ht="16.5" customHeight="1">
      <c r="B5" s="87"/>
      <c r="C5" s="85" t="s">
        <v>8</v>
      </c>
      <c r="D5" s="87"/>
      <c r="E5" s="88" t="s">
        <v>13</v>
      </c>
      <c r="F5" s="67">
        <v>12737</v>
      </c>
      <c r="G5" s="68">
        <v>189442</v>
      </c>
      <c r="H5" s="68">
        <f>7492224142+320251163</f>
        <v>7812475305</v>
      </c>
      <c r="I5" s="69" t="s">
        <v>23</v>
      </c>
      <c r="J5" s="69" t="s">
        <v>23</v>
      </c>
      <c r="K5" s="69" t="s">
        <v>23</v>
      </c>
    </row>
    <row r="6" spans="2:11" s="89" customFormat="1" ht="16.5" customHeight="1">
      <c r="B6" s="87"/>
      <c r="C6" s="90"/>
      <c r="D6" s="87"/>
      <c r="E6" s="88" t="s">
        <v>14</v>
      </c>
      <c r="F6" s="67">
        <f>677813+1858</f>
        <v>679671</v>
      </c>
      <c r="G6" s="68">
        <f>1070710+15674</f>
        <v>1086384</v>
      </c>
      <c r="H6" s="68">
        <f>10033293419+193354630</f>
        <v>10226648049</v>
      </c>
      <c r="I6" s="69" t="s">
        <v>23</v>
      </c>
      <c r="J6" s="69" t="s">
        <v>23</v>
      </c>
      <c r="K6" s="69" t="s">
        <v>23</v>
      </c>
    </row>
    <row r="7" spans="2:11" s="89" customFormat="1" ht="16.5" customHeight="1">
      <c r="B7" s="87"/>
      <c r="C7" s="90"/>
      <c r="D7" s="87"/>
      <c r="E7" s="88" t="s">
        <v>15</v>
      </c>
      <c r="F7" s="67">
        <v>176089</v>
      </c>
      <c r="G7" s="68">
        <v>286132</v>
      </c>
      <c r="H7" s="68">
        <v>2122392385</v>
      </c>
      <c r="I7" s="69" t="s">
        <v>23</v>
      </c>
      <c r="J7" s="69" t="s">
        <v>23</v>
      </c>
      <c r="K7" s="69" t="s">
        <v>23</v>
      </c>
    </row>
    <row r="8" spans="2:11" s="89" customFormat="1" ht="16.5" customHeight="1">
      <c r="B8" s="87"/>
      <c r="C8" s="90"/>
      <c r="D8" s="87"/>
      <c r="E8" s="88" t="s">
        <v>16</v>
      </c>
      <c r="F8" s="67">
        <v>372978</v>
      </c>
      <c r="G8" s="70">
        <v>446486</v>
      </c>
      <c r="H8" s="68">
        <v>4283334941</v>
      </c>
      <c r="I8" s="69" t="s">
        <v>23</v>
      </c>
      <c r="J8" s="69" t="s">
        <v>23</v>
      </c>
      <c r="K8" s="69" t="s">
        <v>23</v>
      </c>
    </row>
    <row r="9" spans="2:11" s="89" customFormat="1" ht="16.5" customHeight="1">
      <c r="B9" s="87"/>
      <c r="C9" s="90"/>
      <c r="D9" s="87"/>
      <c r="E9" s="91" t="s">
        <v>22</v>
      </c>
      <c r="F9" s="67">
        <f>SUM(F5:F8)</f>
        <v>1241475</v>
      </c>
      <c r="G9" s="68">
        <f>SUM(G5:G8)</f>
        <v>2008444</v>
      </c>
      <c r="H9" s="68">
        <f>SUM(H5:H8)</f>
        <v>24444850680</v>
      </c>
      <c r="I9" s="68">
        <v>17816881140</v>
      </c>
      <c r="J9" s="68">
        <v>5726516548</v>
      </c>
      <c r="K9" s="68">
        <v>901452992</v>
      </c>
    </row>
    <row r="10" spans="2:11" s="89" customFormat="1" ht="16.5" customHeight="1">
      <c r="B10" s="88"/>
      <c r="C10" s="88" t="s">
        <v>9</v>
      </c>
      <c r="D10" s="88"/>
      <c r="E10" s="87"/>
      <c r="F10" s="67">
        <f>27229+34</f>
        <v>27263</v>
      </c>
      <c r="G10" s="69" t="s">
        <v>49</v>
      </c>
      <c r="H10" s="68">
        <v>224922759</v>
      </c>
      <c r="I10" s="68">
        <f>163889834+244000</f>
        <v>164133834</v>
      </c>
      <c r="J10" s="68">
        <f>49209271-244000</f>
        <v>48965271</v>
      </c>
      <c r="K10" s="68">
        <v>11823654</v>
      </c>
    </row>
    <row r="11" spans="2:11" s="89" customFormat="1" ht="16.5" customHeight="1">
      <c r="B11" s="107" t="s">
        <v>19</v>
      </c>
      <c r="C11" s="107"/>
      <c r="D11" s="107"/>
      <c r="E11" s="102"/>
      <c r="F11" s="67">
        <f aca="true" t="shared" si="0" ref="F11:K11">F9+F10</f>
        <v>1268738</v>
      </c>
      <c r="G11" s="68">
        <f t="shared" si="0"/>
        <v>2008444</v>
      </c>
      <c r="H11" s="68">
        <f t="shared" si="0"/>
        <v>24669773439</v>
      </c>
      <c r="I11" s="68">
        <f t="shared" si="0"/>
        <v>17981014974</v>
      </c>
      <c r="J11" s="68">
        <f t="shared" si="0"/>
        <v>5775481819</v>
      </c>
      <c r="K11" s="68">
        <f t="shared" si="0"/>
        <v>913276646</v>
      </c>
    </row>
    <row r="12" spans="3:11" s="89" customFormat="1" ht="16.5" customHeight="1">
      <c r="C12" s="88" t="s">
        <v>10</v>
      </c>
      <c r="D12" s="88"/>
      <c r="F12" s="67">
        <v>237</v>
      </c>
      <c r="G12" s="69" t="s">
        <v>49</v>
      </c>
      <c r="H12" s="69" t="s">
        <v>49</v>
      </c>
      <c r="I12" s="68">
        <v>99316000</v>
      </c>
      <c r="J12" s="69" t="s">
        <v>23</v>
      </c>
      <c r="K12" s="69" t="s">
        <v>23</v>
      </c>
    </row>
    <row r="13" spans="3:11" s="89" customFormat="1" ht="16.5" customHeight="1">
      <c r="C13" s="88" t="s">
        <v>11</v>
      </c>
      <c r="D13" s="88"/>
      <c r="F13" s="67">
        <v>365</v>
      </c>
      <c r="G13" s="69" t="s">
        <v>49</v>
      </c>
      <c r="H13" s="69" t="s">
        <v>49</v>
      </c>
      <c r="I13" s="68">
        <v>18250000</v>
      </c>
      <c r="J13" s="69" t="s">
        <v>23</v>
      </c>
      <c r="K13" s="69" t="s">
        <v>23</v>
      </c>
    </row>
    <row r="14" spans="3:11" s="89" customFormat="1" ht="16.5" customHeight="1">
      <c r="C14" s="88" t="s">
        <v>12</v>
      </c>
      <c r="D14" s="88"/>
      <c r="F14" s="67">
        <f>38318+49</f>
        <v>38367</v>
      </c>
      <c r="G14" s="69" t="s">
        <v>23</v>
      </c>
      <c r="H14" s="69" t="s">
        <v>23</v>
      </c>
      <c r="I14" s="68">
        <f>2299524676+2522714</f>
        <v>2302047390</v>
      </c>
      <c r="J14" s="69" t="s">
        <v>23</v>
      </c>
      <c r="K14" s="69" t="s">
        <v>23</v>
      </c>
    </row>
    <row r="15" spans="2:11" s="89" customFormat="1" ht="16.5" customHeight="1">
      <c r="B15" s="101" t="s">
        <v>21</v>
      </c>
      <c r="C15" s="101"/>
      <c r="D15" s="101"/>
      <c r="E15" s="102"/>
      <c r="F15" s="67">
        <f>SUM(F12:F14)</f>
        <v>38969</v>
      </c>
      <c r="G15" s="69" t="s">
        <v>23</v>
      </c>
      <c r="H15" s="69" t="s">
        <v>23</v>
      </c>
      <c r="I15" s="68">
        <f>SUM(I12:I14)</f>
        <v>2419613390</v>
      </c>
      <c r="J15" s="69" t="s">
        <v>23</v>
      </c>
      <c r="K15" s="69" t="s">
        <v>23</v>
      </c>
    </row>
    <row r="16" spans="2:11" s="89" customFormat="1" ht="16.5" customHeight="1" thickBot="1">
      <c r="B16" s="103" t="s">
        <v>1</v>
      </c>
      <c r="C16" s="103"/>
      <c r="D16" s="103"/>
      <c r="E16" s="104"/>
      <c r="F16" s="78">
        <f>F11+F15</f>
        <v>1307707</v>
      </c>
      <c r="G16" s="79">
        <f>G11</f>
        <v>2008444</v>
      </c>
      <c r="H16" s="79">
        <f>H11</f>
        <v>24669773439</v>
      </c>
      <c r="I16" s="79">
        <f>I11+I15</f>
        <v>20400628364</v>
      </c>
      <c r="J16" s="79">
        <f>J11</f>
        <v>5775481819</v>
      </c>
      <c r="K16" s="79">
        <f>K11</f>
        <v>913276646</v>
      </c>
    </row>
    <row r="17" s="62" customFormat="1" ht="4.5" customHeight="1"/>
    <row r="18" s="62" customFormat="1" ht="4.5" customHeight="1"/>
    <row r="19" spans="2:11" s="62" customFormat="1" ht="12.75" customHeight="1">
      <c r="B19" s="92" t="s">
        <v>2</v>
      </c>
      <c r="C19" s="73"/>
      <c r="D19" s="73"/>
      <c r="E19" s="73"/>
      <c r="F19" s="73"/>
      <c r="K19" s="63" t="s">
        <v>52</v>
      </c>
    </row>
    <row r="20" spans="2:11" s="62" customFormat="1" ht="4.5" customHeight="1" thickBot="1"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2:11" s="62" customFormat="1" ht="27">
      <c r="B21" s="105" t="s">
        <v>5</v>
      </c>
      <c r="C21" s="105"/>
      <c r="D21" s="105"/>
      <c r="E21" s="106"/>
      <c r="F21" s="65" t="s">
        <v>3</v>
      </c>
      <c r="G21" s="65" t="s">
        <v>4</v>
      </c>
      <c r="H21" s="65" t="s">
        <v>6</v>
      </c>
      <c r="I21" s="66" t="s">
        <v>17</v>
      </c>
      <c r="J21" s="66" t="s">
        <v>18</v>
      </c>
      <c r="K21" s="66" t="s">
        <v>7</v>
      </c>
    </row>
    <row r="22" spans="2:11" s="89" customFormat="1" ht="16.5" customHeight="1">
      <c r="B22" s="87"/>
      <c r="C22" s="85" t="s">
        <v>8</v>
      </c>
      <c r="D22" s="87"/>
      <c r="E22" s="88" t="s">
        <v>13</v>
      </c>
      <c r="F22" s="67">
        <f>7+2</f>
        <v>9</v>
      </c>
      <c r="G22" s="68">
        <f>65+9</f>
        <v>74</v>
      </c>
      <c r="H22" s="68">
        <f>2919500+323450+103478+8570</f>
        <v>3354998</v>
      </c>
      <c r="I22" s="69" t="s">
        <v>23</v>
      </c>
      <c r="J22" s="69" t="s">
        <v>23</v>
      </c>
      <c r="K22" s="69" t="s">
        <v>23</v>
      </c>
    </row>
    <row r="23" spans="2:11" s="89" customFormat="1" ht="16.5" customHeight="1">
      <c r="B23" s="87"/>
      <c r="C23" s="90"/>
      <c r="D23" s="87"/>
      <c r="E23" s="88" t="s">
        <v>14</v>
      </c>
      <c r="F23" s="67">
        <f>847+43</f>
        <v>890</v>
      </c>
      <c r="G23" s="68">
        <f>1485+49</f>
        <v>1534</v>
      </c>
      <c r="H23" s="68">
        <f>8865220+335850</f>
        <v>9201070</v>
      </c>
      <c r="I23" s="69" t="s">
        <v>23</v>
      </c>
      <c r="J23" s="69" t="s">
        <v>23</v>
      </c>
      <c r="K23" s="69" t="s">
        <v>23</v>
      </c>
    </row>
    <row r="24" spans="2:11" s="89" customFormat="1" ht="16.5" customHeight="1">
      <c r="B24" s="87"/>
      <c r="C24" s="90"/>
      <c r="D24" s="87"/>
      <c r="E24" s="88" t="s">
        <v>15</v>
      </c>
      <c r="F24" s="67">
        <f>215+13</f>
        <v>228</v>
      </c>
      <c r="G24" s="68">
        <f>344+17</f>
        <v>361</v>
      </c>
      <c r="H24" s="68">
        <f>2517510+170990</f>
        <v>2688500</v>
      </c>
      <c r="I24" s="69" t="s">
        <v>23</v>
      </c>
      <c r="J24" s="69" t="s">
        <v>23</v>
      </c>
      <c r="K24" s="69" t="s">
        <v>23</v>
      </c>
    </row>
    <row r="25" spans="2:11" s="89" customFormat="1" ht="16.5" customHeight="1">
      <c r="B25" s="87"/>
      <c r="C25" s="90"/>
      <c r="D25" s="87"/>
      <c r="E25" s="88" t="s">
        <v>16</v>
      </c>
      <c r="F25" s="67">
        <f>513+32</f>
        <v>545</v>
      </c>
      <c r="G25" s="68">
        <f>608+34</f>
        <v>642</v>
      </c>
      <c r="H25" s="68">
        <f>4677770+162510</f>
        <v>4840280</v>
      </c>
      <c r="I25" s="69" t="s">
        <v>23</v>
      </c>
      <c r="J25" s="69" t="s">
        <v>23</v>
      </c>
      <c r="K25" s="69" t="s">
        <v>23</v>
      </c>
    </row>
    <row r="26" spans="2:11" s="89" customFormat="1" ht="16.5" customHeight="1">
      <c r="B26" s="87"/>
      <c r="C26" s="90"/>
      <c r="D26" s="87"/>
      <c r="E26" s="91" t="s">
        <v>22</v>
      </c>
      <c r="F26" s="67">
        <f>SUM(F22:F25)</f>
        <v>1672</v>
      </c>
      <c r="G26" s="68">
        <f>SUM(G22:G25)</f>
        <v>2611</v>
      </c>
      <c r="H26" s="68">
        <f>SUM(H22:H25)</f>
        <v>20084848</v>
      </c>
      <c r="I26" s="68">
        <v>14018678</v>
      </c>
      <c r="J26" s="68">
        <v>5394411</v>
      </c>
      <c r="K26" s="68">
        <v>671759</v>
      </c>
    </row>
    <row r="27" spans="2:11" s="89" customFormat="1" ht="16.5" customHeight="1">
      <c r="B27" s="88"/>
      <c r="C27" s="88" t="s">
        <v>9</v>
      </c>
      <c r="D27" s="88"/>
      <c r="E27" s="87"/>
      <c r="F27" s="67">
        <v>34</v>
      </c>
      <c r="G27" s="69" t="s">
        <v>23</v>
      </c>
      <c r="H27" s="68">
        <v>291340</v>
      </c>
      <c r="I27" s="68">
        <v>203935</v>
      </c>
      <c r="J27" s="68">
        <v>87405</v>
      </c>
      <c r="K27" s="68">
        <v>0</v>
      </c>
    </row>
    <row r="28" spans="2:11" s="89" customFormat="1" ht="16.5" customHeight="1">
      <c r="B28" s="107" t="s">
        <v>20</v>
      </c>
      <c r="C28" s="107"/>
      <c r="D28" s="107"/>
      <c r="E28" s="102"/>
      <c r="F28" s="67">
        <f>F26+F27</f>
        <v>1706</v>
      </c>
      <c r="G28" s="68">
        <f>G26</f>
        <v>2611</v>
      </c>
      <c r="H28" s="68">
        <f>H26+H27</f>
        <v>20376188</v>
      </c>
      <c r="I28" s="68">
        <f>I26+I27</f>
        <v>14222613</v>
      </c>
      <c r="J28" s="68">
        <f>J26+J27</f>
        <v>5481816</v>
      </c>
      <c r="K28" s="68">
        <f>K26+K27</f>
        <v>671759</v>
      </c>
    </row>
    <row r="29" spans="3:11" s="89" customFormat="1" ht="16.5" customHeight="1">
      <c r="C29" s="88" t="s">
        <v>10</v>
      </c>
      <c r="D29" s="88"/>
      <c r="F29" s="74" t="s">
        <v>23</v>
      </c>
      <c r="G29" s="69" t="s">
        <v>23</v>
      </c>
      <c r="H29" s="69" t="s">
        <v>23</v>
      </c>
      <c r="I29" s="69" t="s">
        <v>23</v>
      </c>
      <c r="J29" s="69" t="s">
        <v>23</v>
      </c>
      <c r="K29" s="69" t="s">
        <v>23</v>
      </c>
    </row>
    <row r="30" spans="3:11" s="89" customFormat="1" ht="16.5" customHeight="1">
      <c r="C30" s="88" t="s">
        <v>11</v>
      </c>
      <c r="D30" s="88"/>
      <c r="F30" s="74" t="s">
        <v>23</v>
      </c>
      <c r="G30" s="69" t="s">
        <v>23</v>
      </c>
      <c r="H30" s="69" t="s">
        <v>23</v>
      </c>
      <c r="I30" s="69" t="s">
        <v>23</v>
      </c>
      <c r="J30" s="69" t="s">
        <v>23</v>
      </c>
      <c r="K30" s="69" t="s">
        <v>23</v>
      </c>
    </row>
    <row r="31" spans="3:11" s="89" customFormat="1" ht="16.5" customHeight="1">
      <c r="C31" s="88" t="s">
        <v>12</v>
      </c>
      <c r="D31" s="88"/>
      <c r="F31" s="67">
        <v>15</v>
      </c>
      <c r="G31" s="69" t="s">
        <v>23</v>
      </c>
      <c r="H31" s="69" t="s">
        <v>23</v>
      </c>
      <c r="I31" s="68">
        <v>1024746</v>
      </c>
      <c r="J31" s="69" t="s">
        <v>23</v>
      </c>
      <c r="K31" s="69" t="s">
        <v>23</v>
      </c>
    </row>
    <row r="32" spans="2:11" s="89" customFormat="1" ht="16.5" customHeight="1">
      <c r="B32" s="101" t="s">
        <v>21</v>
      </c>
      <c r="C32" s="101"/>
      <c r="D32" s="101"/>
      <c r="E32" s="102"/>
      <c r="F32" s="67">
        <f>SUM(F29:F31)</f>
        <v>15</v>
      </c>
      <c r="G32" s="69" t="s">
        <v>23</v>
      </c>
      <c r="H32" s="69" t="s">
        <v>23</v>
      </c>
      <c r="I32" s="68">
        <f>SUM(I29:I31)</f>
        <v>1024746</v>
      </c>
      <c r="J32" s="69" t="s">
        <v>23</v>
      </c>
      <c r="K32" s="69" t="s">
        <v>23</v>
      </c>
    </row>
    <row r="33" spans="2:11" s="89" customFormat="1" ht="16.5" customHeight="1" thickBot="1">
      <c r="B33" s="103" t="s">
        <v>1</v>
      </c>
      <c r="C33" s="103"/>
      <c r="D33" s="103"/>
      <c r="E33" s="104"/>
      <c r="F33" s="78">
        <f>F28+F32</f>
        <v>1721</v>
      </c>
      <c r="G33" s="79">
        <f>G28</f>
        <v>2611</v>
      </c>
      <c r="H33" s="79">
        <f>H28</f>
        <v>20376188</v>
      </c>
      <c r="I33" s="79">
        <f>I28+I32</f>
        <v>15247359</v>
      </c>
      <c r="J33" s="79">
        <f>J28</f>
        <v>5481816</v>
      </c>
      <c r="K33" s="79">
        <f>K28</f>
        <v>671759</v>
      </c>
    </row>
    <row r="34" s="62" customFormat="1" ht="4.5" customHeight="1"/>
    <row r="35" spans="2:7" s="62" customFormat="1" ht="13.5">
      <c r="B35" s="93" t="s">
        <v>26</v>
      </c>
      <c r="C35" s="92"/>
      <c r="D35" s="92"/>
      <c r="E35" s="92"/>
      <c r="G35" s="75"/>
    </row>
    <row r="36" s="62" customFormat="1" ht="13.5"/>
    <row r="37" s="62" customFormat="1" ht="13.5"/>
    <row r="38" s="62" customFormat="1" ht="13.5"/>
    <row r="39" s="62" customFormat="1" ht="13.5"/>
    <row r="40" s="62" customFormat="1" ht="13.5"/>
    <row r="41" s="62" customFormat="1" ht="13.5"/>
    <row r="42" s="62" customFormat="1" ht="13.5"/>
    <row r="43" s="62" customFormat="1" ht="13.5"/>
    <row r="44" s="62" customFormat="1" ht="13.5"/>
    <row r="45" s="62" customFormat="1" ht="13.5"/>
    <row r="46" s="62" customFormat="1" ht="13.5"/>
    <row r="47" s="62" customFormat="1" ht="13.5"/>
    <row r="48" s="62" customFormat="1" ht="13.5"/>
    <row r="49" s="62" customFormat="1" ht="13.5"/>
    <row r="50" s="62" customFormat="1" ht="13.5"/>
    <row r="51" s="62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fitToHeight="0" fitToWidth="1" horizontalDpi="600" verticalDpi="600" orientation="portrait" paperSize="9" scale="74" r:id="rId2"/>
  <ignoredErrors>
    <ignoredError sqref="I33 G28 I1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5"/>
  <sheetViews>
    <sheetView showGridLines="0" defaultGridColor="0" zoomScalePageLayoutView="0" colorId="22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22" sqref="H22"/>
    </sheetView>
  </sheetViews>
  <sheetFormatPr defaultColWidth="8.59765625" defaultRowHeight="15"/>
  <cols>
    <col min="1" max="1" width="1.59765625" style="84" customWidth="1"/>
    <col min="2" max="2" width="2.8984375" style="84" customWidth="1"/>
    <col min="3" max="3" width="2.8984375" style="84" bestFit="1" customWidth="1"/>
    <col min="4" max="4" width="6.59765625" style="84" customWidth="1"/>
    <col min="5" max="5" width="14.3984375" style="84" customWidth="1"/>
    <col min="6" max="6" width="13.69921875" style="84" bestFit="1" customWidth="1"/>
    <col min="7" max="7" width="11.19921875" style="84" customWidth="1"/>
    <col min="8" max="8" width="16.19921875" style="84" customWidth="1"/>
    <col min="9" max="9" width="17.3984375" style="84" bestFit="1" customWidth="1"/>
    <col min="10" max="10" width="15.3984375" style="84" customWidth="1"/>
    <col min="11" max="11" width="14.5" style="84" customWidth="1"/>
    <col min="12" max="16384" width="8.59765625" style="84" customWidth="1"/>
  </cols>
  <sheetData>
    <row r="1" spans="2:11" ht="24">
      <c r="B1" s="82" t="s">
        <v>25</v>
      </c>
      <c r="C1" s="82"/>
      <c r="D1" s="82"/>
      <c r="E1" s="82"/>
      <c r="F1" s="82"/>
      <c r="G1" s="82"/>
      <c r="H1" s="82"/>
      <c r="I1" s="83"/>
      <c r="J1" s="82"/>
      <c r="K1" s="82"/>
    </row>
    <row r="2" spans="2:11" s="62" customFormat="1" ht="13.5">
      <c r="B2" s="85" t="s">
        <v>0</v>
      </c>
      <c r="C2" s="86"/>
      <c r="D2" s="86"/>
      <c r="K2" s="63" t="s">
        <v>52</v>
      </c>
    </row>
    <row r="3" spans="2:11" s="62" customFormat="1" ht="4.5" customHeight="1" thickBot="1"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2:11" s="62" customFormat="1" ht="29.25" customHeight="1">
      <c r="B4" s="105" t="s">
        <v>5</v>
      </c>
      <c r="C4" s="105"/>
      <c r="D4" s="105"/>
      <c r="E4" s="106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89" customFormat="1" ht="16.5" customHeight="1">
      <c r="B5" s="87"/>
      <c r="C5" s="85" t="s">
        <v>8</v>
      </c>
      <c r="D5" s="87"/>
      <c r="E5" s="88" t="s">
        <v>13</v>
      </c>
      <c r="F5" s="67">
        <v>12558</v>
      </c>
      <c r="G5" s="68">
        <v>184559</v>
      </c>
      <c r="H5" s="68">
        <f>7272129478+308245613</f>
        <v>7580375091</v>
      </c>
      <c r="I5" s="69" t="s">
        <v>23</v>
      </c>
      <c r="J5" s="69" t="s">
        <v>23</v>
      </c>
      <c r="K5" s="69" t="s">
        <v>23</v>
      </c>
    </row>
    <row r="6" spans="2:11" s="89" customFormat="1" ht="16.5" customHeight="1">
      <c r="B6" s="87"/>
      <c r="C6" s="90"/>
      <c r="D6" s="87"/>
      <c r="E6" s="88" t="s">
        <v>14</v>
      </c>
      <c r="F6" s="67">
        <f>692689+1741</f>
        <v>694430</v>
      </c>
      <c r="G6" s="68">
        <f>1119479+14447</f>
        <v>1133926</v>
      </c>
      <c r="H6" s="68">
        <f>10139968706+170235100</f>
        <v>10310203806</v>
      </c>
      <c r="I6" s="69" t="s">
        <v>23</v>
      </c>
      <c r="J6" s="69" t="s">
        <v>23</v>
      </c>
      <c r="K6" s="69" t="s">
        <v>23</v>
      </c>
    </row>
    <row r="7" spans="2:11" s="89" customFormat="1" ht="16.5" customHeight="1">
      <c r="B7" s="87"/>
      <c r="C7" s="90"/>
      <c r="D7" s="87"/>
      <c r="E7" s="88" t="s">
        <v>15</v>
      </c>
      <c r="F7" s="67">
        <v>174545</v>
      </c>
      <c r="G7" s="68">
        <v>292195</v>
      </c>
      <c r="H7" s="68">
        <v>2101481598</v>
      </c>
      <c r="I7" s="69" t="s">
        <v>23</v>
      </c>
      <c r="J7" s="69" t="s">
        <v>23</v>
      </c>
      <c r="K7" s="69" t="s">
        <v>23</v>
      </c>
    </row>
    <row r="8" spans="2:11" s="89" customFormat="1" ht="16.5" customHeight="1">
      <c r="B8" s="87"/>
      <c r="C8" s="90"/>
      <c r="D8" s="87"/>
      <c r="E8" s="88" t="s">
        <v>16</v>
      </c>
      <c r="F8" s="67">
        <v>372602</v>
      </c>
      <c r="G8" s="70">
        <v>450215</v>
      </c>
      <c r="H8" s="68">
        <v>4246808789</v>
      </c>
      <c r="I8" s="69" t="s">
        <v>23</v>
      </c>
      <c r="J8" s="69" t="s">
        <v>23</v>
      </c>
      <c r="K8" s="69" t="s">
        <v>23</v>
      </c>
    </row>
    <row r="9" spans="2:11" s="89" customFormat="1" ht="16.5" customHeight="1">
      <c r="B9" s="87"/>
      <c r="C9" s="90"/>
      <c r="D9" s="87"/>
      <c r="E9" s="91" t="s">
        <v>22</v>
      </c>
      <c r="F9" s="67">
        <f>SUM(F5:F8)</f>
        <v>1254135</v>
      </c>
      <c r="G9" s="68">
        <f>SUM(G5:G8)</f>
        <v>2060895</v>
      </c>
      <c r="H9" s="68">
        <f>SUM(H5:H8)</f>
        <v>24238869284</v>
      </c>
      <c r="I9" s="68">
        <v>17624554128</v>
      </c>
      <c r="J9" s="68">
        <v>5642877231</v>
      </c>
      <c r="K9" s="68">
        <v>971437925</v>
      </c>
    </row>
    <row r="10" spans="2:11" s="89" customFormat="1" ht="16.5" customHeight="1">
      <c r="B10" s="88"/>
      <c r="C10" s="88" t="s">
        <v>9</v>
      </c>
      <c r="D10" s="88"/>
      <c r="E10" s="87"/>
      <c r="F10" s="67">
        <f>28360+20</f>
        <v>28380</v>
      </c>
      <c r="G10" s="69" t="s">
        <v>49</v>
      </c>
      <c r="H10" s="68">
        <v>235093418</v>
      </c>
      <c r="I10" s="68">
        <f>170937352+150750</f>
        <v>171088102</v>
      </c>
      <c r="J10" s="68">
        <f>51180356-150750</f>
        <v>51029606</v>
      </c>
      <c r="K10" s="68">
        <v>12975710</v>
      </c>
    </row>
    <row r="11" spans="2:11" s="89" customFormat="1" ht="16.5" customHeight="1">
      <c r="B11" s="107" t="s">
        <v>19</v>
      </c>
      <c r="C11" s="107"/>
      <c r="D11" s="107"/>
      <c r="E11" s="102"/>
      <c r="F11" s="67">
        <f aca="true" t="shared" si="0" ref="F11:K11">F9+F10</f>
        <v>1282515</v>
      </c>
      <c r="G11" s="68">
        <f t="shared" si="0"/>
        <v>2060895</v>
      </c>
      <c r="H11" s="68">
        <f t="shared" si="0"/>
        <v>24473962702</v>
      </c>
      <c r="I11" s="68">
        <f t="shared" si="0"/>
        <v>17795642230</v>
      </c>
      <c r="J11" s="68">
        <f t="shared" si="0"/>
        <v>5693906837</v>
      </c>
      <c r="K11" s="68">
        <f t="shared" si="0"/>
        <v>984413635</v>
      </c>
    </row>
    <row r="12" spans="3:11" s="89" customFormat="1" ht="16.5" customHeight="1">
      <c r="C12" s="88" t="s">
        <v>10</v>
      </c>
      <c r="D12" s="88"/>
      <c r="F12" s="67">
        <v>245</v>
      </c>
      <c r="G12" s="69" t="s">
        <v>49</v>
      </c>
      <c r="H12" s="69" t="s">
        <v>49</v>
      </c>
      <c r="I12" s="68">
        <v>102272000</v>
      </c>
      <c r="J12" s="69" t="s">
        <v>23</v>
      </c>
      <c r="K12" s="69" t="s">
        <v>23</v>
      </c>
    </row>
    <row r="13" spans="3:11" s="89" customFormat="1" ht="16.5" customHeight="1">
      <c r="C13" s="88" t="s">
        <v>11</v>
      </c>
      <c r="D13" s="88"/>
      <c r="F13" s="67">
        <v>378</v>
      </c>
      <c r="G13" s="69" t="s">
        <v>49</v>
      </c>
      <c r="H13" s="69" t="s">
        <v>49</v>
      </c>
      <c r="I13" s="68">
        <v>18900000</v>
      </c>
      <c r="J13" s="69" t="s">
        <v>23</v>
      </c>
      <c r="K13" s="69" t="s">
        <v>23</v>
      </c>
    </row>
    <row r="14" spans="3:11" s="89" customFormat="1" ht="16.5" customHeight="1">
      <c r="C14" s="88" t="s">
        <v>12</v>
      </c>
      <c r="D14" s="88"/>
      <c r="F14" s="67">
        <f>37099+17</f>
        <v>37116</v>
      </c>
      <c r="G14" s="69" t="s">
        <v>23</v>
      </c>
      <c r="H14" s="69" t="s">
        <v>23</v>
      </c>
      <c r="I14" s="68">
        <f>2195533406+1756380</f>
        <v>2197289786</v>
      </c>
      <c r="J14" s="69" t="s">
        <v>23</v>
      </c>
      <c r="K14" s="69" t="s">
        <v>23</v>
      </c>
    </row>
    <row r="15" spans="2:11" s="89" customFormat="1" ht="16.5" customHeight="1">
      <c r="B15" s="101" t="s">
        <v>21</v>
      </c>
      <c r="C15" s="101"/>
      <c r="D15" s="101"/>
      <c r="E15" s="102"/>
      <c r="F15" s="67">
        <f>SUM(F12:F14)</f>
        <v>37739</v>
      </c>
      <c r="G15" s="69" t="s">
        <v>23</v>
      </c>
      <c r="H15" s="69" t="s">
        <v>23</v>
      </c>
      <c r="I15" s="68">
        <f>SUM(I12:I14)</f>
        <v>2318461786</v>
      </c>
      <c r="J15" s="69" t="s">
        <v>23</v>
      </c>
      <c r="K15" s="69" t="s">
        <v>23</v>
      </c>
    </row>
    <row r="16" spans="2:11" s="89" customFormat="1" ht="16.5" customHeight="1" thickBot="1">
      <c r="B16" s="103" t="s">
        <v>1</v>
      </c>
      <c r="C16" s="103"/>
      <c r="D16" s="103"/>
      <c r="E16" s="104"/>
      <c r="F16" s="78">
        <f>F11+F15</f>
        <v>1320254</v>
      </c>
      <c r="G16" s="79">
        <f>G11</f>
        <v>2060895</v>
      </c>
      <c r="H16" s="79">
        <f>H11</f>
        <v>24473962702</v>
      </c>
      <c r="I16" s="79">
        <f>I11+I15</f>
        <v>20114104016</v>
      </c>
      <c r="J16" s="79">
        <f>J11</f>
        <v>5693906837</v>
      </c>
      <c r="K16" s="79">
        <f>K11</f>
        <v>984413635</v>
      </c>
    </row>
    <row r="17" s="62" customFormat="1" ht="4.5" customHeight="1"/>
    <row r="18" s="62" customFormat="1" ht="4.5" customHeight="1"/>
    <row r="19" spans="2:11" s="62" customFormat="1" ht="12.75" customHeight="1">
      <c r="B19" s="92" t="s">
        <v>2</v>
      </c>
      <c r="C19" s="73"/>
      <c r="D19" s="73"/>
      <c r="E19" s="73"/>
      <c r="F19" s="73"/>
      <c r="K19" s="63" t="s">
        <v>52</v>
      </c>
    </row>
    <row r="20" spans="2:11" s="62" customFormat="1" ht="4.5" customHeight="1" thickBot="1"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2:11" s="62" customFormat="1" ht="27">
      <c r="B21" s="105" t="s">
        <v>5</v>
      </c>
      <c r="C21" s="105"/>
      <c r="D21" s="105"/>
      <c r="E21" s="106"/>
      <c r="F21" s="65" t="s">
        <v>3</v>
      </c>
      <c r="G21" s="65" t="s">
        <v>4</v>
      </c>
      <c r="H21" s="65" t="s">
        <v>6</v>
      </c>
      <c r="I21" s="66" t="s">
        <v>17</v>
      </c>
      <c r="J21" s="66" t="s">
        <v>18</v>
      </c>
      <c r="K21" s="66" t="s">
        <v>7</v>
      </c>
    </row>
    <row r="22" spans="2:11" s="89" customFormat="1" ht="16.5" customHeight="1">
      <c r="B22" s="87"/>
      <c r="C22" s="85" t="s">
        <v>8</v>
      </c>
      <c r="D22" s="87"/>
      <c r="E22" s="88" t="s">
        <v>13</v>
      </c>
      <c r="F22" s="67">
        <f>81+14</f>
        <v>95</v>
      </c>
      <c r="G22" s="68">
        <f>1407+330</f>
        <v>1737</v>
      </c>
      <c r="H22" s="68">
        <f>50299830+8383620+2462421+587166</f>
        <v>61733037</v>
      </c>
      <c r="I22" s="69" t="s">
        <v>23</v>
      </c>
      <c r="J22" s="69" t="s">
        <v>23</v>
      </c>
      <c r="K22" s="69" t="s">
        <v>23</v>
      </c>
    </row>
    <row r="23" spans="2:11" s="89" customFormat="1" ht="16.5" customHeight="1">
      <c r="B23" s="87"/>
      <c r="C23" s="90"/>
      <c r="D23" s="87"/>
      <c r="E23" s="88" t="s">
        <v>14</v>
      </c>
      <c r="F23" s="67">
        <f>3546+14+556+0</f>
        <v>4116</v>
      </c>
      <c r="G23" s="68">
        <f>5514+58+820+0</f>
        <v>6392</v>
      </c>
      <c r="H23" s="68">
        <f>62186880+570920+5417620+0</f>
        <v>68175420</v>
      </c>
      <c r="I23" s="69" t="s">
        <v>23</v>
      </c>
      <c r="J23" s="69" t="s">
        <v>23</v>
      </c>
      <c r="K23" s="69" t="s">
        <v>23</v>
      </c>
    </row>
    <row r="24" spans="2:11" s="89" customFormat="1" ht="16.5" customHeight="1">
      <c r="B24" s="87"/>
      <c r="C24" s="90"/>
      <c r="D24" s="87"/>
      <c r="E24" s="88" t="s">
        <v>15</v>
      </c>
      <c r="F24" s="67">
        <f>839+205</f>
        <v>1044</v>
      </c>
      <c r="G24" s="68">
        <f>1352+358</f>
        <v>1710</v>
      </c>
      <c r="H24" s="68">
        <f>9140710+2464720</f>
        <v>11605430</v>
      </c>
      <c r="I24" s="69" t="s">
        <v>23</v>
      </c>
      <c r="J24" s="69" t="s">
        <v>23</v>
      </c>
      <c r="K24" s="69" t="s">
        <v>23</v>
      </c>
    </row>
    <row r="25" spans="2:11" s="89" customFormat="1" ht="16.5" customHeight="1">
      <c r="B25" s="87"/>
      <c r="C25" s="90"/>
      <c r="D25" s="87"/>
      <c r="E25" s="88" t="s">
        <v>16</v>
      </c>
      <c r="F25" s="67">
        <f>2020+361</f>
        <v>2381</v>
      </c>
      <c r="G25" s="68">
        <f>2414+428</f>
        <v>2842</v>
      </c>
      <c r="H25" s="68">
        <f>23991310+3532350</f>
        <v>27523660</v>
      </c>
      <c r="I25" s="69" t="s">
        <v>23</v>
      </c>
      <c r="J25" s="69" t="s">
        <v>23</v>
      </c>
      <c r="K25" s="69" t="s">
        <v>23</v>
      </c>
    </row>
    <row r="26" spans="2:11" s="89" customFormat="1" ht="16.5" customHeight="1">
      <c r="B26" s="87"/>
      <c r="C26" s="90"/>
      <c r="D26" s="87"/>
      <c r="E26" s="91" t="s">
        <v>22</v>
      </c>
      <c r="F26" s="67">
        <f>SUM(F22:F25)</f>
        <v>7636</v>
      </c>
      <c r="G26" s="68">
        <f>SUM(G22:G25)</f>
        <v>12681</v>
      </c>
      <c r="H26" s="68">
        <f>SUM(H22:H25)</f>
        <v>169037547</v>
      </c>
      <c r="I26" s="68">
        <v>117639679</v>
      </c>
      <c r="J26" s="68">
        <v>44917111</v>
      </c>
      <c r="K26" s="68">
        <v>6480757</v>
      </c>
    </row>
    <row r="27" spans="2:11" s="89" customFormat="1" ht="16.5" customHeight="1">
      <c r="B27" s="88"/>
      <c r="C27" s="88" t="s">
        <v>9</v>
      </c>
      <c r="D27" s="88"/>
      <c r="E27" s="87"/>
      <c r="F27" s="67">
        <f>165+1</f>
        <v>166</v>
      </c>
      <c r="G27" s="69" t="s">
        <v>23</v>
      </c>
      <c r="H27" s="68">
        <v>1465793</v>
      </c>
      <c r="I27" s="68">
        <f>1026036+4650</f>
        <v>1030686</v>
      </c>
      <c r="J27" s="68">
        <f>322987-4650</f>
        <v>318337</v>
      </c>
      <c r="K27" s="68">
        <v>116770</v>
      </c>
    </row>
    <row r="28" spans="2:11" s="89" customFormat="1" ht="16.5" customHeight="1">
      <c r="B28" s="107" t="s">
        <v>20</v>
      </c>
      <c r="C28" s="107"/>
      <c r="D28" s="107"/>
      <c r="E28" s="102"/>
      <c r="F28" s="67">
        <f>F26+F27</f>
        <v>7802</v>
      </c>
      <c r="G28" s="68">
        <f>G26</f>
        <v>12681</v>
      </c>
      <c r="H28" s="68">
        <f>H26+H27</f>
        <v>170503340</v>
      </c>
      <c r="I28" s="68">
        <f>I26+I27</f>
        <v>118670365</v>
      </c>
      <c r="J28" s="68">
        <f>J26+J27</f>
        <v>45235448</v>
      </c>
      <c r="K28" s="68">
        <f>K26+K27</f>
        <v>6597527</v>
      </c>
    </row>
    <row r="29" spans="3:11" s="89" customFormat="1" ht="16.5" customHeight="1">
      <c r="C29" s="88" t="s">
        <v>10</v>
      </c>
      <c r="D29" s="88"/>
      <c r="F29" s="74" t="s">
        <v>23</v>
      </c>
      <c r="G29" s="69" t="s">
        <v>23</v>
      </c>
      <c r="H29" s="69" t="s">
        <v>23</v>
      </c>
      <c r="I29" s="69" t="s">
        <v>23</v>
      </c>
      <c r="J29" s="69" t="s">
        <v>23</v>
      </c>
      <c r="K29" s="69" t="s">
        <v>23</v>
      </c>
    </row>
    <row r="30" spans="3:11" s="89" customFormat="1" ht="16.5" customHeight="1">
      <c r="C30" s="88" t="s">
        <v>11</v>
      </c>
      <c r="D30" s="88"/>
      <c r="F30" s="74" t="s">
        <v>23</v>
      </c>
      <c r="G30" s="69" t="s">
        <v>23</v>
      </c>
      <c r="H30" s="69" t="s">
        <v>23</v>
      </c>
      <c r="I30" s="69" t="s">
        <v>23</v>
      </c>
      <c r="J30" s="69" t="s">
        <v>23</v>
      </c>
      <c r="K30" s="69" t="s">
        <v>23</v>
      </c>
    </row>
    <row r="31" spans="3:11" s="89" customFormat="1" ht="16.5" customHeight="1">
      <c r="C31" s="88" t="s">
        <v>12</v>
      </c>
      <c r="D31" s="88"/>
      <c r="F31" s="67">
        <v>286</v>
      </c>
      <c r="G31" s="69" t="s">
        <v>23</v>
      </c>
      <c r="H31" s="69" t="s">
        <v>23</v>
      </c>
      <c r="I31" s="68">
        <v>23321972</v>
      </c>
      <c r="J31" s="69" t="s">
        <v>23</v>
      </c>
      <c r="K31" s="69" t="s">
        <v>23</v>
      </c>
    </row>
    <row r="32" spans="2:11" s="89" customFormat="1" ht="16.5" customHeight="1">
      <c r="B32" s="101" t="s">
        <v>21</v>
      </c>
      <c r="C32" s="101"/>
      <c r="D32" s="101"/>
      <c r="E32" s="102"/>
      <c r="F32" s="67">
        <f>SUM(F29:F31)</f>
        <v>286</v>
      </c>
      <c r="G32" s="69" t="s">
        <v>23</v>
      </c>
      <c r="H32" s="69" t="s">
        <v>23</v>
      </c>
      <c r="I32" s="68">
        <f>SUM(I29:I31)</f>
        <v>23321972</v>
      </c>
      <c r="J32" s="69" t="s">
        <v>23</v>
      </c>
      <c r="K32" s="69" t="s">
        <v>23</v>
      </c>
    </row>
    <row r="33" spans="2:11" s="89" customFormat="1" ht="16.5" customHeight="1" thickBot="1">
      <c r="B33" s="103" t="s">
        <v>1</v>
      </c>
      <c r="C33" s="103"/>
      <c r="D33" s="103"/>
      <c r="E33" s="104"/>
      <c r="F33" s="78">
        <f>F28+F32</f>
        <v>8088</v>
      </c>
      <c r="G33" s="79">
        <f>G28</f>
        <v>12681</v>
      </c>
      <c r="H33" s="79">
        <f>H28</f>
        <v>170503340</v>
      </c>
      <c r="I33" s="79">
        <f>I28+I32</f>
        <v>141992337</v>
      </c>
      <c r="J33" s="79">
        <f>J28</f>
        <v>45235448</v>
      </c>
      <c r="K33" s="79">
        <f>K28</f>
        <v>6597527</v>
      </c>
    </row>
    <row r="34" s="62" customFormat="1" ht="4.5" customHeight="1"/>
    <row r="35" spans="2:7" s="62" customFormat="1" ht="13.5">
      <c r="B35" s="93" t="s">
        <v>26</v>
      </c>
      <c r="C35" s="92"/>
      <c r="D35" s="92"/>
      <c r="E35" s="92"/>
      <c r="G35" s="75"/>
    </row>
    <row r="36" s="62" customFormat="1" ht="13.5"/>
    <row r="37" s="62" customFormat="1" ht="13.5"/>
    <row r="38" s="62" customFormat="1" ht="13.5"/>
    <row r="39" s="62" customFormat="1" ht="13.5"/>
    <row r="40" s="62" customFormat="1" ht="13.5"/>
    <row r="41" s="62" customFormat="1" ht="13.5"/>
    <row r="42" s="62" customFormat="1" ht="13.5"/>
    <row r="43" s="62" customFormat="1" ht="13.5"/>
    <row r="44" s="62" customFormat="1" ht="13.5"/>
    <row r="45" s="62" customFormat="1" ht="13.5"/>
    <row r="46" s="62" customFormat="1" ht="13.5"/>
    <row r="47" s="62" customFormat="1" ht="13.5"/>
    <row r="48" s="62" customFormat="1" ht="13.5"/>
    <row r="49" s="62" customFormat="1" ht="13.5"/>
    <row r="50" s="62" customFormat="1" ht="13.5"/>
    <row r="51" s="62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horizontalDpi="600" verticalDpi="600" orientation="portrait" paperSize="9" scale="76" r:id="rId2"/>
  <ignoredErrors>
    <ignoredError sqref="I16 G28 I3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5"/>
  <sheetViews>
    <sheetView showGridLines="0" defaultGridColor="0" zoomScalePageLayoutView="0" colorId="22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27" sqref="F27"/>
    </sheetView>
  </sheetViews>
  <sheetFormatPr defaultColWidth="8.59765625" defaultRowHeight="15"/>
  <cols>
    <col min="1" max="1" width="1.59765625" style="1" customWidth="1"/>
    <col min="2" max="2" width="2.8984375" style="1" customWidth="1"/>
    <col min="3" max="3" width="2.8984375" style="1" bestFit="1" customWidth="1"/>
    <col min="4" max="4" width="6.59765625" style="1" customWidth="1"/>
    <col min="5" max="5" width="14.3984375" style="1" customWidth="1"/>
    <col min="6" max="6" width="11.19921875" style="1" bestFit="1" customWidth="1"/>
    <col min="7" max="7" width="11.19921875" style="1" customWidth="1"/>
    <col min="8" max="8" width="16.19921875" style="1" customWidth="1"/>
    <col min="9" max="9" width="17.3984375" style="1" bestFit="1" customWidth="1"/>
    <col min="10" max="10" width="15.3984375" style="1" customWidth="1"/>
    <col min="11" max="11" width="14.5" style="1" customWidth="1"/>
    <col min="12" max="16384" width="8.59765625" style="1" customWidth="1"/>
  </cols>
  <sheetData>
    <row r="1" spans="2:11" ht="24">
      <c r="B1" s="19" t="s">
        <v>25</v>
      </c>
      <c r="C1" s="19"/>
      <c r="D1" s="19"/>
      <c r="E1" s="19"/>
      <c r="F1" s="19"/>
      <c r="G1" s="19"/>
      <c r="H1" s="19"/>
      <c r="I1" s="76"/>
      <c r="J1" s="19"/>
      <c r="K1" s="19"/>
    </row>
    <row r="2" spans="2:11" s="3" customFormat="1" ht="13.5">
      <c r="B2" s="9" t="s">
        <v>0</v>
      </c>
      <c r="C2" s="2"/>
      <c r="D2" s="2"/>
      <c r="F2" s="62"/>
      <c r="G2" s="62"/>
      <c r="H2" s="62"/>
      <c r="I2" s="62"/>
      <c r="J2" s="62"/>
      <c r="K2" s="63" t="s">
        <v>51</v>
      </c>
    </row>
    <row r="3" spans="2:11" s="3" customFormat="1" ht="4.5" customHeight="1" thickBot="1">
      <c r="B3" s="4"/>
      <c r="C3" s="4"/>
      <c r="D3" s="4"/>
      <c r="E3" s="4"/>
      <c r="F3" s="64"/>
      <c r="G3" s="64"/>
      <c r="H3" s="64"/>
      <c r="I3" s="64"/>
      <c r="J3" s="64"/>
      <c r="K3" s="64"/>
    </row>
    <row r="4" spans="2:11" s="3" customFormat="1" ht="29.25" customHeight="1">
      <c r="B4" s="98" t="s">
        <v>5</v>
      </c>
      <c r="C4" s="98"/>
      <c r="D4" s="98"/>
      <c r="E4" s="99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13" customFormat="1" ht="16.5" customHeight="1">
      <c r="B5" s="11"/>
      <c r="C5" s="9" t="s">
        <v>8</v>
      </c>
      <c r="D5" s="11"/>
      <c r="E5" s="12" t="s">
        <v>13</v>
      </c>
      <c r="F5" s="67">
        <v>13208</v>
      </c>
      <c r="G5" s="68">
        <v>190926</v>
      </c>
      <c r="H5" s="68">
        <f>7272906874+319062795</f>
        <v>7591969669</v>
      </c>
      <c r="I5" s="69" t="s">
        <v>23</v>
      </c>
      <c r="J5" s="69" t="s">
        <v>23</v>
      </c>
      <c r="K5" s="69" t="s">
        <v>23</v>
      </c>
    </row>
    <row r="6" spans="2:11" s="13" customFormat="1" ht="16.5" customHeight="1">
      <c r="B6" s="11"/>
      <c r="C6" s="10"/>
      <c r="D6" s="11"/>
      <c r="E6" s="12" t="s">
        <v>14</v>
      </c>
      <c r="F6" s="67">
        <f>703156+1477</f>
        <v>704633</v>
      </c>
      <c r="G6" s="68">
        <f>1148801+12319</f>
        <v>1161120</v>
      </c>
      <c r="H6" s="68">
        <f>10322709247+141144260</f>
        <v>10463853507</v>
      </c>
      <c r="I6" s="69" t="s">
        <v>23</v>
      </c>
      <c r="J6" s="69" t="s">
        <v>23</v>
      </c>
      <c r="K6" s="69" t="s">
        <v>23</v>
      </c>
    </row>
    <row r="7" spans="2:11" s="13" customFormat="1" ht="16.5" customHeight="1">
      <c r="B7" s="11"/>
      <c r="C7" s="10"/>
      <c r="D7" s="11"/>
      <c r="E7" s="12" t="s">
        <v>15</v>
      </c>
      <c r="F7" s="67">
        <v>175522</v>
      </c>
      <c r="G7" s="68">
        <v>302463</v>
      </c>
      <c r="H7" s="68">
        <v>2117746586</v>
      </c>
      <c r="I7" s="69" t="s">
        <v>23</v>
      </c>
      <c r="J7" s="69" t="s">
        <v>23</v>
      </c>
      <c r="K7" s="69" t="s">
        <v>23</v>
      </c>
    </row>
    <row r="8" spans="2:11" s="13" customFormat="1" ht="16.5" customHeight="1">
      <c r="B8" s="11"/>
      <c r="C8" s="10"/>
      <c r="D8" s="11"/>
      <c r="E8" s="12" t="s">
        <v>16</v>
      </c>
      <c r="F8" s="67">
        <v>373080</v>
      </c>
      <c r="G8" s="70">
        <v>453142</v>
      </c>
      <c r="H8" s="68">
        <v>4482751810</v>
      </c>
      <c r="I8" s="69" t="s">
        <v>23</v>
      </c>
      <c r="J8" s="69" t="s">
        <v>23</v>
      </c>
      <c r="K8" s="69" t="s">
        <v>23</v>
      </c>
    </row>
    <row r="9" spans="2:11" s="13" customFormat="1" ht="16.5" customHeight="1">
      <c r="B9" s="11"/>
      <c r="C9" s="10"/>
      <c r="D9" s="11"/>
      <c r="E9" s="77" t="s">
        <v>22</v>
      </c>
      <c r="F9" s="67">
        <f>SUM(F5:F8)</f>
        <v>1266443</v>
      </c>
      <c r="G9" s="68">
        <f>SUM(G5:G8)</f>
        <v>2107651</v>
      </c>
      <c r="H9" s="68">
        <f>SUM(H5:H8)</f>
        <v>24656321572</v>
      </c>
      <c r="I9" s="68">
        <v>17907015032</v>
      </c>
      <c r="J9" s="68">
        <v>5661826694</v>
      </c>
      <c r="K9" s="68">
        <v>1087479846</v>
      </c>
    </row>
    <row r="10" spans="2:11" s="13" customFormat="1" ht="16.5" customHeight="1">
      <c r="B10" s="12"/>
      <c r="C10" s="12" t="s">
        <v>9</v>
      </c>
      <c r="D10" s="12"/>
      <c r="E10" s="11"/>
      <c r="F10" s="67">
        <f>32+30027</f>
        <v>30059</v>
      </c>
      <c r="G10" s="69" t="s">
        <v>49</v>
      </c>
      <c r="H10" s="68">
        <v>258397957</v>
      </c>
      <c r="I10" s="68">
        <f>249900+187630143</f>
        <v>187880043</v>
      </c>
      <c r="J10" s="68">
        <f>-249900+54928361</f>
        <v>54678461</v>
      </c>
      <c r="K10" s="68">
        <v>15839453</v>
      </c>
    </row>
    <row r="11" spans="2:11" s="13" customFormat="1" ht="16.5" customHeight="1">
      <c r="B11" s="100" t="s">
        <v>19</v>
      </c>
      <c r="C11" s="100"/>
      <c r="D11" s="100"/>
      <c r="E11" s="95"/>
      <c r="F11" s="67">
        <f aca="true" t="shared" si="0" ref="F11:K11">F9+F10</f>
        <v>1296502</v>
      </c>
      <c r="G11" s="68">
        <f t="shared" si="0"/>
        <v>2107651</v>
      </c>
      <c r="H11" s="68">
        <f t="shared" si="0"/>
        <v>24914719529</v>
      </c>
      <c r="I11" s="68">
        <f t="shared" si="0"/>
        <v>18094895075</v>
      </c>
      <c r="J11" s="68">
        <f t="shared" si="0"/>
        <v>5716505155</v>
      </c>
      <c r="K11" s="68">
        <f t="shared" si="0"/>
        <v>1103319299</v>
      </c>
    </row>
    <row r="12" spans="3:11" s="13" customFormat="1" ht="16.5" customHeight="1">
      <c r="C12" s="12" t="s">
        <v>10</v>
      </c>
      <c r="D12" s="12"/>
      <c r="F12" s="67">
        <v>344</v>
      </c>
      <c r="G12" s="69" t="s">
        <v>49</v>
      </c>
      <c r="H12" s="69" t="s">
        <v>49</v>
      </c>
      <c r="I12" s="68">
        <v>143580000</v>
      </c>
      <c r="J12" s="69" t="s">
        <v>23</v>
      </c>
      <c r="K12" s="69" t="s">
        <v>23</v>
      </c>
    </row>
    <row r="13" spans="3:11" s="13" customFormat="1" ht="16.5" customHeight="1">
      <c r="C13" s="12" t="s">
        <v>11</v>
      </c>
      <c r="D13" s="12"/>
      <c r="F13" s="67">
        <v>402</v>
      </c>
      <c r="G13" s="69" t="s">
        <v>49</v>
      </c>
      <c r="H13" s="69" t="s">
        <v>49</v>
      </c>
      <c r="I13" s="68">
        <v>20100000</v>
      </c>
      <c r="J13" s="69" t="s">
        <v>23</v>
      </c>
      <c r="K13" s="69" t="s">
        <v>23</v>
      </c>
    </row>
    <row r="14" spans="3:11" s="13" customFormat="1" ht="16.5" customHeight="1">
      <c r="C14" s="12" t="s">
        <v>12</v>
      </c>
      <c r="D14" s="12"/>
      <c r="F14" s="67">
        <f>37616+46</f>
        <v>37662</v>
      </c>
      <c r="G14" s="69" t="s">
        <v>23</v>
      </c>
      <c r="H14" s="69" t="s">
        <v>23</v>
      </c>
      <c r="I14" s="68">
        <f>2265234493+1796518</f>
        <v>2267031011</v>
      </c>
      <c r="J14" s="69" t="s">
        <v>23</v>
      </c>
      <c r="K14" s="69" t="s">
        <v>23</v>
      </c>
    </row>
    <row r="15" spans="2:11" s="13" customFormat="1" ht="16.5" customHeight="1">
      <c r="B15" s="94" t="s">
        <v>21</v>
      </c>
      <c r="C15" s="94"/>
      <c r="D15" s="94"/>
      <c r="E15" s="95"/>
      <c r="F15" s="67">
        <f>SUM(F12:F14)</f>
        <v>38408</v>
      </c>
      <c r="G15" s="69" t="s">
        <v>23</v>
      </c>
      <c r="H15" s="69" t="s">
        <v>23</v>
      </c>
      <c r="I15" s="68">
        <f>SUM(I12:I14)</f>
        <v>2430711011</v>
      </c>
      <c r="J15" s="69" t="s">
        <v>23</v>
      </c>
      <c r="K15" s="69" t="s">
        <v>23</v>
      </c>
    </row>
    <row r="16" spans="2:11" s="13" customFormat="1" ht="16.5" customHeight="1" thickBot="1">
      <c r="B16" s="96" t="s">
        <v>1</v>
      </c>
      <c r="C16" s="96"/>
      <c r="D16" s="96"/>
      <c r="E16" s="97"/>
      <c r="F16" s="78">
        <f>F11+F15</f>
        <v>1334910</v>
      </c>
      <c r="G16" s="79">
        <f>G11</f>
        <v>2107651</v>
      </c>
      <c r="H16" s="79">
        <f>H11</f>
        <v>24914719529</v>
      </c>
      <c r="I16" s="79">
        <f>I11+I15</f>
        <v>20525606086</v>
      </c>
      <c r="J16" s="79">
        <f>J11</f>
        <v>5716505155</v>
      </c>
      <c r="K16" s="79">
        <f>K11</f>
        <v>1103319299</v>
      </c>
    </row>
    <row r="17" spans="6:11" s="3" customFormat="1" ht="4.5" customHeight="1">
      <c r="F17" s="62"/>
      <c r="G17" s="62"/>
      <c r="H17" s="62"/>
      <c r="I17" s="62"/>
      <c r="J17" s="62"/>
      <c r="K17" s="62"/>
    </row>
    <row r="18" spans="6:11" s="3" customFormat="1" ht="4.5" customHeight="1">
      <c r="F18" s="62"/>
      <c r="G18" s="62"/>
      <c r="H18" s="62"/>
      <c r="I18" s="62"/>
      <c r="J18" s="62"/>
      <c r="K18" s="62"/>
    </row>
    <row r="19" spans="2:11" s="3" customFormat="1" ht="12.75" customHeight="1">
      <c r="B19" s="14" t="s">
        <v>2</v>
      </c>
      <c r="C19" s="7"/>
      <c r="D19" s="7"/>
      <c r="E19" s="7"/>
      <c r="F19" s="73"/>
      <c r="G19" s="62"/>
      <c r="H19" s="62"/>
      <c r="I19" s="62"/>
      <c r="J19" s="62"/>
      <c r="K19" s="63" t="s">
        <v>48</v>
      </c>
    </row>
    <row r="20" spans="2:11" s="3" customFormat="1" ht="4.5" customHeight="1" thickBot="1">
      <c r="B20" s="4"/>
      <c r="C20" s="4"/>
      <c r="D20" s="4"/>
      <c r="E20" s="4"/>
      <c r="F20" s="64"/>
      <c r="G20" s="64"/>
      <c r="H20" s="64"/>
      <c r="I20" s="64"/>
      <c r="J20" s="64"/>
      <c r="K20" s="64"/>
    </row>
    <row r="21" spans="2:11" s="3" customFormat="1" ht="27">
      <c r="B21" s="98" t="s">
        <v>5</v>
      </c>
      <c r="C21" s="98"/>
      <c r="D21" s="98"/>
      <c r="E21" s="99"/>
      <c r="F21" s="65" t="s">
        <v>3</v>
      </c>
      <c r="G21" s="65" t="s">
        <v>4</v>
      </c>
      <c r="H21" s="65" t="s">
        <v>6</v>
      </c>
      <c r="I21" s="66" t="s">
        <v>17</v>
      </c>
      <c r="J21" s="66" t="s">
        <v>18</v>
      </c>
      <c r="K21" s="66" t="s">
        <v>7</v>
      </c>
    </row>
    <row r="22" spans="2:11" s="13" customFormat="1" ht="16.5" customHeight="1">
      <c r="B22" s="11"/>
      <c r="C22" s="9" t="s">
        <v>8</v>
      </c>
      <c r="D22" s="11"/>
      <c r="E22" s="12" t="s">
        <v>13</v>
      </c>
      <c r="F22" s="67">
        <f>166+35</f>
        <v>201</v>
      </c>
      <c r="G22" s="68">
        <f>2436+749</f>
        <v>3185</v>
      </c>
      <c r="H22" s="68">
        <f>114670991+4349713+18919300+1467888</f>
        <v>139407892</v>
      </c>
      <c r="I22" s="69" t="s">
        <v>23</v>
      </c>
      <c r="J22" s="69" t="s">
        <v>23</v>
      </c>
      <c r="K22" s="69" t="s">
        <v>23</v>
      </c>
    </row>
    <row r="23" spans="2:11" s="13" customFormat="1" ht="16.5" customHeight="1">
      <c r="B23" s="11"/>
      <c r="C23" s="10"/>
      <c r="D23" s="11"/>
      <c r="E23" s="12" t="s">
        <v>14</v>
      </c>
      <c r="F23" s="67">
        <f>9556+14+2301+9</f>
        <v>11880</v>
      </c>
      <c r="G23" s="68">
        <f>16208+55+3909+60</f>
        <v>20232</v>
      </c>
      <c r="H23" s="68">
        <f>188583317+565960+32723490+658680</f>
        <v>222531447</v>
      </c>
      <c r="I23" s="69" t="s">
        <v>23</v>
      </c>
      <c r="J23" s="69" t="s">
        <v>23</v>
      </c>
      <c r="K23" s="69" t="s">
        <v>23</v>
      </c>
    </row>
    <row r="24" spans="2:11" s="13" customFormat="1" ht="16.5" customHeight="1">
      <c r="B24" s="11"/>
      <c r="C24" s="10"/>
      <c r="D24" s="11"/>
      <c r="E24" s="12" t="s">
        <v>15</v>
      </c>
      <c r="F24" s="67">
        <f>2422+651</f>
        <v>3073</v>
      </c>
      <c r="G24" s="68">
        <f>4225+1084</f>
        <v>5309</v>
      </c>
      <c r="H24" s="68">
        <f>29353190+7334130</f>
        <v>36687320</v>
      </c>
      <c r="I24" s="69" t="s">
        <v>23</v>
      </c>
      <c r="J24" s="69" t="s">
        <v>23</v>
      </c>
      <c r="K24" s="69" t="s">
        <v>23</v>
      </c>
    </row>
    <row r="25" spans="2:11" s="13" customFormat="1" ht="16.5" customHeight="1">
      <c r="B25" s="11"/>
      <c r="C25" s="10"/>
      <c r="D25" s="11"/>
      <c r="E25" s="12" t="s">
        <v>16</v>
      </c>
      <c r="F25" s="67">
        <f>5386+1329</f>
        <v>6715</v>
      </c>
      <c r="G25" s="68">
        <f>6804+1624</f>
        <v>8428</v>
      </c>
      <c r="H25" s="68">
        <f>74515531+16629250</f>
        <v>91144781</v>
      </c>
      <c r="I25" s="69" t="s">
        <v>23</v>
      </c>
      <c r="J25" s="69" t="s">
        <v>23</v>
      </c>
      <c r="K25" s="69" t="s">
        <v>23</v>
      </c>
    </row>
    <row r="26" spans="2:11" s="13" customFormat="1" ht="16.5" customHeight="1">
      <c r="B26" s="11"/>
      <c r="C26" s="10"/>
      <c r="D26" s="11"/>
      <c r="E26" s="77" t="s">
        <v>22</v>
      </c>
      <c r="F26" s="67">
        <f>SUM(F22:F25)</f>
        <v>21869</v>
      </c>
      <c r="G26" s="68">
        <f>SUM(G22:G25)</f>
        <v>37154</v>
      </c>
      <c r="H26" s="68">
        <f>SUM(H22:H25)</f>
        <v>489771440</v>
      </c>
      <c r="I26" s="68">
        <v>341962828</v>
      </c>
      <c r="J26" s="68">
        <v>127385442</v>
      </c>
      <c r="K26" s="68">
        <v>20423170</v>
      </c>
    </row>
    <row r="27" spans="2:11" s="13" customFormat="1" ht="16.5" customHeight="1">
      <c r="B27" s="12"/>
      <c r="C27" s="12" t="s">
        <v>9</v>
      </c>
      <c r="D27" s="12"/>
      <c r="E27" s="11"/>
      <c r="F27" s="67">
        <v>517</v>
      </c>
      <c r="G27" s="69" t="s">
        <v>23</v>
      </c>
      <c r="H27" s="68">
        <v>4668236</v>
      </c>
      <c r="I27" s="68">
        <v>3267707</v>
      </c>
      <c r="J27" s="68">
        <v>1074855</v>
      </c>
      <c r="K27" s="68">
        <v>325674</v>
      </c>
    </row>
    <row r="28" spans="2:11" s="13" customFormat="1" ht="16.5" customHeight="1">
      <c r="B28" s="100" t="s">
        <v>20</v>
      </c>
      <c r="C28" s="100"/>
      <c r="D28" s="100"/>
      <c r="E28" s="95"/>
      <c r="F28" s="67">
        <f>F26+F27</f>
        <v>22386</v>
      </c>
      <c r="G28" s="68">
        <f>G26</f>
        <v>37154</v>
      </c>
      <c r="H28" s="68">
        <f>H26+H27</f>
        <v>494439676</v>
      </c>
      <c r="I28" s="68">
        <f>I26+I27</f>
        <v>345230535</v>
      </c>
      <c r="J28" s="68">
        <f>J26+J27</f>
        <v>128460297</v>
      </c>
      <c r="K28" s="68">
        <f>K26+K27</f>
        <v>20748844</v>
      </c>
    </row>
    <row r="29" spans="3:11" s="13" customFormat="1" ht="16.5" customHeight="1">
      <c r="C29" s="12" t="s">
        <v>10</v>
      </c>
      <c r="D29" s="12"/>
      <c r="F29" s="74" t="s">
        <v>23</v>
      </c>
      <c r="G29" s="69" t="s">
        <v>23</v>
      </c>
      <c r="H29" s="69" t="s">
        <v>23</v>
      </c>
      <c r="I29" s="69" t="s">
        <v>23</v>
      </c>
      <c r="J29" s="69" t="s">
        <v>23</v>
      </c>
      <c r="K29" s="69" t="s">
        <v>23</v>
      </c>
    </row>
    <row r="30" spans="3:11" s="13" customFormat="1" ht="16.5" customHeight="1">
      <c r="C30" s="12" t="s">
        <v>11</v>
      </c>
      <c r="D30" s="12"/>
      <c r="F30" s="74" t="s">
        <v>23</v>
      </c>
      <c r="G30" s="69" t="s">
        <v>23</v>
      </c>
      <c r="H30" s="69" t="s">
        <v>23</v>
      </c>
      <c r="I30" s="69" t="s">
        <v>23</v>
      </c>
      <c r="J30" s="69" t="s">
        <v>23</v>
      </c>
      <c r="K30" s="69" t="s">
        <v>23</v>
      </c>
    </row>
    <row r="31" spans="3:11" s="13" customFormat="1" ht="16.5" customHeight="1">
      <c r="C31" s="12" t="s">
        <v>12</v>
      </c>
      <c r="D31" s="12"/>
      <c r="F31" s="67">
        <f>782+1</f>
        <v>783</v>
      </c>
      <c r="G31" s="69" t="s">
        <v>23</v>
      </c>
      <c r="H31" s="69" t="s">
        <v>23</v>
      </c>
      <c r="I31" s="68">
        <f>59126414+5993</f>
        <v>59132407</v>
      </c>
      <c r="J31" s="69" t="s">
        <v>23</v>
      </c>
      <c r="K31" s="69" t="s">
        <v>23</v>
      </c>
    </row>
    <row r="32" spans="2:11" s="13" customFormat="1" ht="16.5" customHeight="1">
      <c r="B32" s="94" t="s">
        <v>21</v>
      </c>
      <c r="C32" s="94"/>
      <c r="D32" s="94"/>
      <c r="E32" s="95"/>
      <c r="F32" s="67">
        <f>SUM(F29:F31)</f>
        <v>783</v>
      </c>
      <c r="G32" s="69" t="s">
        <v>23</v>
      </c>
      <c r="H32" s="69" t="s">
        <v>23</v>
      </c>
      <c r="I32" s="68">
        <f>SUM(I29:I31)</f>
        <v>59132407</v>
      </c>
      <c r="J32" s="69" t="s">
        <v>23</v>
      </c>
      <c r="K32" s="69" t="s">
        <v>23</v>
      </c>
    </row>
    <row r="33" spans="2:11" s="13" customFormat="1" ht="16.5" customHeight="1" thickBot="1">
      <c r="B33" s="96" t="s">
        <v>1</v>
      </c>
      <c r="C33" s="96"/>
      <c r="D33" s="96"/>
      <c r="E33" s="97"/>
      <c r="F33" s="80">
        <f>F28+F32</f>
        <v>23169</v>
      </c>
      <c r="G33" s="81">
        <f>G28</f>
        <v>37154</v>
      </c>
      <c r="H33" s="81">
        <f>H28</f>
        <v>494439676</v>
      </c>
      <c r="I33" s="81">
        <f>I28+I32</f>
        <v>404362942</v>
      </c>
      <c r="J33" s="81">
        <f>J28</f>
        <v>128460297</v>
      </c>
      <c r="K33" s="81">
        <f>K28</f>
        <v>20748844</v>
      </c>
    </row>
    <row r="34" s="3" customFormat="1" ht="4.5" customHeight="1"/>
    <row r="35" spans="2:7" s="3" customFormat="1" ht="13.5">
      <c r="B35" s="15" t="s">
        <v>26</v>
      </c>
      <c r="C35" s="14"/>
      <c r="D35" s="14"/>
      <c r="E35" s="14"/>
      <c r="G35" s="8"/>
    </row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5"/>
  <sheetViews>
    <sheetView showGridLines="0" defaultGridColor="0" zoomScalePageLayoutView="0" colorId="22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25" sqref="F25"/>
    </sheetView>
  </sheetViews>
  <sheetFormatPr defaultColWidth="8.59765625" defaultRowHeight="15"/>
  <cols>
    <col min="1" max="1" width="1.59765625" style="1" customWidth="1"/>
    <col min="2" max="2" width="2.8984375" style="1" customWidth="1"/>
    <col min="3" max="3" width="2.8984375" style="1" bestFit="1" customWidth="1"/>
    <col min="4" max="4" width="6.59765625" style="1" customWidth="1"/>
    <col min="5" max="5" width="14.3984375" style="1" customWidth="1"/>
    <col min="6" max="6" width="11.19921875" style="1" bestFit="1" customWidth="1"/>
    <col min="7" max="7" width="11.19921875" style="1" customWidth="1"/>
    <col min="8" max="8" width="16.19921875" style="1" customWidth="1"/>
    <col min="9" max="9" width="17.3984375" style="1" bestFit="1" customWidth="1"/>
    <col min="10" max="10" width="15.3984375" style="1" customWidth="1"/>
    <col min="11" max="11" width="14.5" style="1" customWidth="1"/>
    <col min="12" max="16384" width="8.59765625" style="1" customWidth="1"/>
  </cols>
  <sheetData>
    <row r="1" spans="2:11" ht="24">
      <c r="B1" s="19" t="s">
        <v>25</v>
      </c>
      <c r="C1" s="19"/>
      <c r="D1" s="19"/>
      <c r="E1" s="19"/>
      <c r="F1" s="19"/>
      <c r="G1" s="19"/>
      <c r="H1" s="19"/>
      <c r="I1" s="76"/>
      <c r="J1" s="19"/>
      <c r="K1" s="19"/>
    </row>
    <row r="2" spans="2:11" s="3" customFormat="1" ht="13.5">
      <c r="B2" s="9" t="s">
        <v>0</v>
      </c>
      <c r="C2" s="2"/>
      <c r="D2" s="2"/>
      <c r="F2" s="62"/>
      <c r="G2" s="62"/>
      <c r="H2" s="62"/>
      <c r="I2" s="62"/>
      <c r="J2" s="62"/>
      <c r="K2" s="63" t="s">
        <v>50</v>
      </c>
    </row>
    <row r="3" spans="2:11" s="3" customFormat="1" ht="4.5" customHeight="1" thickBot="1">
      <c r="B3" s="4"/>
      <c r="C3" s="4"/>
      <c r="D3" s="4"/>
      <c r="E3" s="4"/>
      <c r="F3" s="64"/>
      <c r="G3" s="64"/>
      <c r="H3" s="64"/>
      <c r="I3" s="64"/>
      <c r="J3" s="64"/>
      <c r="K3" s="64"/>
    </row>
    <row r="4" spans="2:11" s="3" customFormat="1" ht="29.25" customHeight="1">
      <c r="B4" s="98" t="s">
        <v>5</v>
      </c>
      <c r="C4" s="98"/>
      <c r="D4" s="98"/>
      <c r="E4" s="99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13" customFormat="1" ht="16.5" customHeight="1">
      <c r="B5" s="11"/>
      <c r="C5" s="9" t="s">
        <v>8</v>
      </c>
      <c r="D5" s="11"/>
      <c r="E5" s="12" t="s">
        <v>13</v>
      </c>
      <c r="F5" s="46">
        <v>13263</v>
      </c>
      <c r="G5" s="47">
        <v>194495</v>
      </c>
      <c r="H5" s="47">
        <f>7428566330+325459893</f>
        <v>7754026223</v>
      </c>
      <c r="I5" s="48" t="s">
        <v>23</v>
      </c>
      <c r="J5" s="48" t="s">
        <v>23</v>
      </c>
      <c r="K5" s="48" t="s">
        <v>23</v>
      </c>
    </row>
    <row r="6" spans="2:11" s="13" customFormat="1" ht="16.5" customHeight="1">
      <c r="B6" s="11"/>
      <c r="C6" s="10"/>
      <c r="D6" s="11"/>
      <c r="E6" s="12" t="s">
        <v>14</v>
      </c>
      <c r="F6" s="46">
        <f>720626+1311</f>
        <v>721937</v>
      </c>
      <c r="G6" s="47">
        <f>1183304+10896</f>
        <v>1194200</v>
      </c>
      <c r="H6" s="47">
        <f>10304176820+123164810</f>
        <v>10427341630</v>
      </c>
      <c r="I6" s="48" t="s">
        <v>23</v>
      </c>
      <c r="J6" s="48" t="s">
        <v>23</v>
      </c>
      <c r="K6" s="48" t="s">
        <v>23</v>
      </c>
    </row>
    <row r="7" spans="2:11" s="13" customFormat="1" ht="16.5" customHeight="1">
      <c r="B7" s="11"/>
      <c r="C7" s="10"/>
      <c r="D7" s="11"/>
      <c r="E7" s="12" t="s">
        <v>15</v>
      </c>
      <c r="F7" s="46">
        <v>178684</v>
      </c>
      <c r="G7" s="47">
        <v>315799</v>
      </c>
      <c r="H7" s="47">
        <v>2188391574</v>
      </c>
      <c r="I7" s="48" t="s">
        <v>23</v>
      </c>
      <c r="J7" s="48" t="s">
        <v>23</v>
      </c>
      <c r="K7" s="48" t="s">
        <v>23</v>
      </c>
    </row>
    <row r="8" spans="2:11" s="13" customFormat="1" ht="16.5" customHeight="1">
      <c r="B8" s="11"/>
      <c r="C8" s="10"/>
      <c r="D8" s="11"/>
      <c r="E8" s="12" t="s">
        <v>16</v>
      </c>
      <c r="F8" s="46">
        <v>379183</v>
      </c>
      <c r="G8" s="51">
        <v>465477</v>
      </c>
      <c r="H8" s="47">
        <v>4422586926</v>
      </c>
      <c r="I8" s="48" t="s">
        <v>23</v>
      </c>
      <c r="J8" s="48" t="s">
        <v>23</v>
      </c>
      <c r="K8" s="48" t="s">
        <v>23</v>
      </c>
    </row>
    <row r="9" spans="2:11" s="13" customFormat="1" ht="16.5" customHeight="1">
      <c r="B9" s="11"/>
      <c r="C9" s="10"/>
      <c r="D9" s="11"/>
      <c r="E9" s="77" t="s">
        <v>22</v>
      </c>
      <c r="F9" s="46">
        <f>SUM(F5:F8)</f>
        <v>1293067</v>
      </c>
      <c r="G9" s="47">
        <f>SUM(G5:G8)</f>
        <v>2169971</v>
      </c>
      <c r="H9" s="47">
        <f>SUM(H5:H8)</f>
        <v>24792346353</v>
      </c>
      <c r="I9" s="47">
        <v>17997628016</v>
      </c>
      <c r="J9" s="47">
        <v>5624862707</v>
      </c>
      <c r="K9" s="47">
        <v>1169855630</v>
      </c>
    </row>
    <row r="10" spans="2:11" s="13" customFormat="1" ht="16.5" customHeight="1">
      <c r="B10" s="12"/>
      <c r="C10" s="12" t="s">
        <v>9</v>
      </c>
      <c r="D10" s="12"/>
      <c r="E10" s="11"/>
      <c r="F10" s="46">
        <f>31244+29</f>
        <v>31273</v>
      </c>
      <c r="G10" s="48" t="s">
        <v>49</v>
      </c>
      <c r="H10" s="47">
        <v>272178161</v>
      </c>
      <c r="I10" s="47">
        <f>197736995+109250</f>
        <v>197846245</v>
      </c>
      <c r="J10" s="47">
        <f>56222013-109250</f>
        <v>56112763</v>
      </c>
      <c r="K10" s="47">
        <v>18219153</v>
      </c>
    </row>
    <row r="11" spans="2:11" s="13" customFormat="1" ht="16.5" customHeight="1">
      <c r="B11" s="100" t="s">
        <v>19</v>
      </c>
      <c r="C11" s="100"/>
      <c r="D11" s="100"/>
      <c r="E11" s="95"/>
      <c r="F11" s="46">
        <f aca="true" t="shared" si="0" ref="F11:K11">F9+F10</f>
        <v>1324340</v>
      </c>
      <c r="G11" s="47">
        <f t="shared" si="0"/>
        <v>2169971</v>
      </c>
      <c r="H11" s="47">
        <f t="shared" si="0"/>
        <v>25064524514</v>
      </c>
      <c r="I11" s="47">
        <f t="shared" si="0"/>
        <v>18195474261</v>
      </c>
      <c r="J11" s="47">
        <f t="shared" si="0"/>
        <v>5680975470</v>
      </c>
      <c r="K11" s="47">
        <f t="shared" si="0"/>
        <v>1188074783</v>
      </c>
    </row>
    <row r="12" spans="3:11" s="13" customFormat="1" ht="16.5" customHeight="1">
      <c r="C12" s="12" t="s">
        <v>10</v>
      </c>
      <c r="D12" s="12"/>
      <c r="F12" s="46">
        <v>345</v>
      </c>
      <c r="G12" s="48" t="s">
        <v>49</v>
      </c>
      <c r="H12" s="48" t="s">
        <v>49</v>
      </c>
      <c r="I12" s="47">
        <v>143412364</v>
      </c>
      <c r="J12" s="48" t="s">
        <v>23</v>
      </c>
      <c r="K12" s="48" t="s">
        <v>23</v>
      </c>
    </row>
    <row r="13" spans="3:11" s="13" customFormat="1" ht="16.5" customHeight="1">
      <c r="C13" s="12" t="s">
        <v>11</v>
      </c>
      <c r="D13" s="12"/>
      <c r="F13" s="46">
        <v>404</v>
      </c>
      <c r="G13" s="48" t="s">
        <v>49</v>
      </c>
      <c r="H13" s="48" t="s">
        <v>49</v>
      </c>
      <c r="I13" s="47">
        <v>20200000</v>
      </c>
      <c r="J13" s="48" t="s">
        <v>23</v>
      </c>
      <c r="K13" s="48" t="s">
        <v>23</v>
      </c>
    </row>
    <row r="14" spans="3:11" s="13" customFormat="1" ht="16.5" customHeight="1">
      <c r="C14" s="12" t="s">
        <v>12</v>
      </c>
      <c r="D14" s="12"/>
      <c r="F14" s="46">
        <f>36166+34</f>
        <v>36200</v>
      </c>
      <c r="G14" s="48" t="s">
        <v>23</v>
      </c>
      <c r="H14" s="48" t="s">
        <v>23</v>
      </c>
      <c r="I14" s="47">
        <f>2204911983+1999731</f>
        <v>2206911714</v>
      </c>
      <c r="J14" s="48" t="s">
        <v>23</v>
      </c>
      <c r="K14" s="48" t="s">
        <v>23</v>
      </c>
    </row>
    <row r="15" spans="2:11" s="13" customFormat="1" ht="16.5" customHeight="1">
      <c r="B15" s="94" t="s">
        <v>21</v>
      </c>
      <c r="C15" s="94"/>
      <c r="D15" s="94"/>
      <c r="E15" s="95"/>
      <c r="F15" s="46">
        <f>SUM(F12:F14)</f>
        <v>36949</v>
      </c>
      <c r="G15" s="48" t="s">
        <v>23</v>
      </c>
      <c r="H15" s="48" t="s">
        <v>23</v>
      </c>
      <c r="I15" s="47">
        <f>SUM(I12:I14)</f>
        <v>2370524078</v>
      </c>
      <c r="J15" s="48" t="s">
        <v>23</v>
      </c>
      <c r="K15" s="48" t="s">
        <v>23</v>
      </c>
    </row>
    <row r="16" spans="2:11" s="13" customFormat="1" ht="16.5" customHeight="1" thickBot="1">
      <c r="B16" s="96" t="s">
        <v>1</v>
      </c>
      <c r="C16" s="96"/>
      <c r="D16" s="96"/>
      <c r="E16" s="97"/>
      <c r="F16" s="80">
        <f>F11+F15</f>
        <v>1361289</v>
      </c>
      <c r="G16" s="81">
        <f>G11</f>
        <v>2169971</v>
      </c>
      <c r="H16" s="81">
        <f>H11</f>
        <v>25064524514</v>
      </c>
      <c r="I16" s="81">
        <f>I11+I15</f>
        <v>20565998339</v>
      </c>
      <c r="J16" s="81">
        <f>J11</f>
        <v>5680975470</v>
      </c>
      <c r="K16" s="81">
        <f>K11</f>
        <v>1188074783</v>
      </c>
    </row>
    <row r="17" spans="6:11" s="3" customFormat="1" ht="4.5" customHeight="1">
      <c r="F17" s="39"/>
      <c r="G17" s="39"/>
      <c r="H17" s="39"/>
      <c r="I17" s="39"/>
      <c r="J17" s="39"/>
      <c r="K17" s="39"/>
    </row>
    <row r="18" spans="6:11" s="3" customFormat="1" ht="4.5" customHeight="1">
      <c r="F18" s="39"/>
      <c r="G18" s="39"/>
      <c r="H18" s="39"/>
      <c r="I18" s="39"/>
      <c r="J18" s="39"/>
      <c r="K18" s="39"/>
    </row>
    <row r="19" spans="2:11" s="3" customFormat="1" ht="12.75" customHeight="1">
      <c r="B19" s="14" t="s">
        <v>2</v>
      </c>
      <c r="C19" s="7"/>
      <c r="D19" s="7"/>
      <c r="E19" s="7"/>
      <c r="F19" s="58"/>
      <c r="G19" s="39"/>
      <c r="H19" s="39"/>
      <c r="I19" s="39"/>
      <c r="J19" s="39"/>
      <c r="K19" s="40" t="s">
        <v>48</v>
      </c>
    </row>
    <row r="20" spans="2:11" s="3" customFormat="1" ht="4.5" customHeight="1" thickBot="1">
      <c r="B20" s="4"/>
      <c r="C20" s="4"/>
      <c r="D20" s="4"/>
      <c r="E20" s="4"/>
      <c r="F20" s="41"/>
      <c r="G20" s="41"/>
      <c r="H20" s="41"/>
      <c r="I20" s="41"/>
      <c r="J20" s="41"/>
      <c r="K20" s="41"/>
    </row>
    <row r="21" spans="2:11" s="3" customFormat="1" ht="27">
      <c r="B21" s="98" t="s">
        <v>5</v>
      </c>
      <c r="C21" s="98"/>
      <c r="D21" s="98"/>
      <c r="E21" s="99"/>
      <c r="F21" s="42" t="s">
        <v>3</v>
      </c>
      <c r="G21" s="42" t="s">
        <v>4</v>
      </c>
      <c r="H21" s="42" t="s">
        <v>6</v>
      </c>
      <c r="I21" s="43" t="s">
        <v>17</v>
      </c>
      <c r="J21" s="43" t="s">
        <v>18</v>
      </c>
      <c r="K21" s="43" t="s">
        <v>7</v>
      </c>
    </row>
    <row r="22" spans="2:11" s="13" customFormat="1" ht="16.5" customHeight="1">
      <c r="B22" s="11"/>
      <c r="C22" s="9" t="s">
        <v>8</v>
      </c>
      <c r="D22" s="11"/>
      <c r="E22" s="12" t="s">
        <v>13</v>
      </c>
      <c r="F22" s="46">
        <f>310+59</f>
        <v>369</v>
      </c>
      <c r="G22" s="47">
        <f>3747+629</f>
        <v>4376</v>
      </c>
      <c r="H22" s="47">
        <f>192190380+25056330+6056658+961009</f>
        <v>224264377</v>
      </c>
      <c r="I22" s="48" t="s">
        <v>23</v>
      </c>
      <c r="J22" s="48" t="s">
        <v>23</v>
      </c>
      <c r="K22" s="48" t="s">
        <v>23</v>
      </c>
    </row>
    <row r="23" spans="2:11" s="13" customFormat="1" ht="16.5" customHeight="1">
      <c r="B23" s="11"/>
      <c r="C23" s="10"/>
      <c r="D23" s="11"/>
      <c r="E23" s="12" t="s">
        <v>14</v>
      </c>
      <c r="F23" s="46">
        <f>18217+5375+35+22</f>
        <v>23649</v>
      </c>
      <c r="G23" s="47">
        <f>31282+9066+188+250</f>
        <v>40786</v>
      </c>
      <c r="H23" s="47">
        <f>334991120+83824300+2164690+2613340</f>
        <v>423593450</v>
      </c>
      <c r="I23" s="48" t="s">
        <v>23</v>
      </c>
      <c r="J23" s="48" t="s">
        <v>23</v>
      </c>
      <c r="K23" s="48" t="s">
        <v>23</v>
      </c>
    </row>
    <row r="24" spans="2:11" s="13" customFormat="1" ht="16.5" customHeight="1">
      <c r="B24" s="11"/>
      <c r="C24" s="10"/>
      <c r="D24" s="11"/>
      <c r="E24" s="12" t="s">
        <v>15</v>
      </c>
      <c r="F24" s="46">
        <f>4587+1562</f>
        <v>6149</v>
      </c>
      <c r="G24" s="47">
        <f>8354+2761</f>
        <v>11115</v>
      </c>
      <c r="H24" s="47">
        <f>57687660+17722290</f>
        <v>75409950</v>
      </c>
      <c r="I24" s="48" t="s">
        <v>23</v>
      </c>
      <c r="J24" s="48" t="s">
        <v>23</v>
      </c>
      <c r="K24" s="48" t="s">
        <v>23</v>
      </c>
    </row>
    <row r="25" spans="2:11" s="13" customFormat="1" ht="16.5" customHeight="1">
      <c r="B25" s="11"/>
      <c r="C25" s="10"/>
      <c r="D25" s="11"/>
      <c r="E25" s="12" t="s">
        <v>16</v>
      </c>
      <c r="F25" s="46">
        <f>9888+2762</f>
        <v>12650</v>
      </c>
      <c r="G25" s="47">
        <f>12354+3513</f>
        <v>15867</v>
      </c>
      <c r="H25" s="47">
        <f>131215260+40907500</f>
        <v>172122760</v>
      </c>
      <c r="I25" s="48" t="s">
        <v>23</v>
      </c>
      <c r="J25" s="48" t="s">
        <v>23</v>
      </c>
      <c r="K25" s="48" t="s">
        <v>23</v>
      </c>
    </row>
    <row r="26" spans="2:11" s="13" customFormat="1" ht="16.5" customHeight="1">
      <c r="B26" s="11"/>
      <c r="C26" s="10"/>
      <c r="D26" s="11"/>
      <c r="E26" s="77" t="s">
        <v>22</v>
      </c>
      <c r="F26" s="46">
        <f>SUM(F22:F25)</f>
        <v>42817</v>
      </c>
      <c r="G26" s="47">
        <f>SUM(G22:G25)</f>
        <v>72144</v>
      </c>
      <c r="H26" s="47">
        <f>SUM(H22:H25)</f>
        <v>895390537</v>
      </c>
      <c r="I26" s="47">
        <v>625673336</v>
      </c>
      <c r="J26" s="47">
        <v>232199860</v>
      </c>
      <c r="K26" s="47">
        <v>37517341</v>
      </c>
    </row>
    <row r="27" spans="2:11" s="13" customFormat="1" ht="16.5" customHeight="1">
      <c r="B27" s="12"/>
      <c r="C27" s="12" t="s">
        <v>9</v>
      </c>
      <c r="D27" s="12"/>
      <c r="E27" s="11"/>
      <c r="F27" s="46">
        <v>1007</v>
      </c>
      <c r="G27" s="48" t="s">
        <v>23</v>
      </c>
      <c r="H27" s="47">
        <v>9327037</v>
      </c>
      <c r="I27" s="47">
        <v>6528794</v>
      </c>
      <c r="J27" s="47">
        <v>2144984</v>
      </c>
      <c r="K27" s="47">
        <v>653259</v>
      </c>
    </row>
    <row r="28" spans="2:11" s="13" customFormat="1" ht="16.5" customHeight="1">
      <c r="B28" s="100" t="s">
        <v>20</v>
      </c>
      <c r="C28" s="100"/>
      <c r="D28" s="100"/>
      <c r="E28" s="95"/>
      <c r="F28" s="46">
        <f>F26+F27</f>
        <v>43824</v>
      </c>
      <c r="G28" s="47">
        <f>G26</f>
        <v>72144</v>
      </c>
      <c r="H28" s="47">
        <f>H26+H27</f>
        <v>904717574</v>
      </c>
      <c r="I28" s="47">
        <f>I26+I27</f>
        <v>632202130</v>
      </c>
      <c r="J28" s="47">
        <f>J26+J27</f>
        <v>234344844</v>
      </c>
      <c r="K28" s="47">
        <f>K26+K27</f>
        <v>38170600</v>
      </c>
    </row>
    <row r="29" spans="3:11" s="13" customFormat="1" ht="16.5" customHeight="1">
      <c r="C29" s="12" t="s">
        <v>10</v>
      </c>
      <c r="D29" s="12"/>
      <c r="F29" s="59" t="s">
        <v>23</v>
      </c>
      <c r="G29" s="48" t="s">
        <v>23</v>
      </c>
      <c r="H29" s="48" t="s">
        <v>23</v>
      </c>
      <c r="I29" s="48" t="s">
        <v>23</v>
      </c>
      <c r="J29" s="48" t="s">
        <v>23</v>
      </c>
      <c r="K29" s="48" t="s">
        <v>23</v>
      </c>
    </row>
    <row r="30" spans="3:11" s="13" customFormat="1" ht="16.5" customHeight="1">
      <c r="C30" s="12" t="s">
        <v>11</v>
      </c>
      <c r="D30" s="12"/>
      <c r="F30" s="59" t="s">
        <v>23</v>
      </c>
      <c r="G30" s="48" t="s">
        <v>23</v>
      </c>
      <c r="H30" s="48" t="s">
        <v>23</v>
      </c>
      <c r="I30" s="48" t="s">
        <v>23</v>
      </c>
      <c r="J30" s="48" t="s">
        <v>23</v>
      </c>
      <c r="K30" s="48" t="s">
        <v>23</v>
      </c>
    </row>
    <row r="31" spans="3:11" s="13" customFormat="1" ht="16.5" customHeight="1">
      <c r="C31" s="12" t="s">
        <v>12</v>
      </c>
      <c r="D31" s="12"/>
      <c r="F31" s="46">
        <f>1278+2</f>
        <v>1280</v>
      </c>
      <c r="G31" s="48" t="s">
        <v>23</v>
      </c>
      <c r="H31" s="48" t="s">
        <v>23</v>
      </c>
      <c r="I31" s="47">
        <f>97516692+182523</f>
        <v>97699215</v>
      </c>
      <c r="J31" s="48" t="s">
        <v>23</v>
      </c>
      <c r="K31" s="48" t="s">
        <v>23</v>
      </c>
    </row>
    <row r="32" spans="2:11" s="13" customFormat="1" ht="16.5" customHeight="1">
      <c r="B32" s="94" t="s">
        <v>21</v>
      </c>
      <c r="C32" s="94"/>
      <c r="D32" s="94"/>
      <c r="E32" s="95"/>
      <c r="F32" s="46">
        <f>SUM(F29:F31)</f>
        <v>1280</v>
      </c>
      <c r="G32" s="48" t="s">
        <v>23</v>
      </c>
      <c r="H32" s="48" t="s">
        <v>23</v>
      </c>
      <c r="I32" s="47">
        <f>SUM(I29:I31)</f>
        <v>97699215</v>
      </c>
      <c r="J32" s="48" t="s">
        <v>23</v>
      </c>
      <c r="K32" s="48" t="s">
        <v>23</v>
      </c>
    </row>
    <row r="33" spans="2:11" s="13" customFormat="1" ht="16.5" customHeight="1" thickBot="1">
      <c r="B33" s="96" t="s">
        <v>1</v>
      </c>
      <c r="C33" s="96"/>
      <c r="D33" s="96"/>
      <c r="E33" s="97"/>
      <c r="F33" s="80">
        <f>F28+F32</f>
        <v>45104</v>
      </c>
      <c r="G33" s="81">
        <f>G28</f>
        <v>72144</v>
      </c>
      <c r="H33" s="81">
        <f>H28</f>
        <v>904717574</v>
      </c>
      <c r="I33" s="81">
        <f>I28+I32</f>
        <v>729901345</v>
      </c>
      <c r="J33" s="81">
        <f>J28</f>
        <v>234344844</v>
      </c>
      <c r="K33" s="81">
        <f>K28</f>
        <v>38170600</v>
      </c>
    </row>
    <row r="34" s="3" customFormat="1" ht="4.5" customHeight="1"/>
    <row r="35" spans="2:7" s="3" customFormat="1" ht="13.5">
      <c r="B35" s="15" t="s">
        <v>26</v>
      </c>
      <c r="C35" s="14"/>
      <c r="D35" s="14"/>
      <c r="E35" s="14"/>
      <c r="G35" s="8"/>
    </row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5"/>
  <sheetViews>
    <sheetView showGridLines="0" defaultGridColor="0" zoomScalePageLayoutView="0" colorId="22" workbookViewId="0" topLeftCell="A1">
      <pane xSplit="5" ySplit="4" topLeftCell="F1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3" sqref="F13"/>
    </sheetView>
  </sheetViews>
  <sheetFormatPr defaultColWidth="8.59765625" defaultRowHeight="15"/>
  <cols>
    <col min="1" max="1" width="1.59765625" style="1" customWidth="1"/>
    <col min="2" max="2" width="2.8984375" style="1" customWidth="1"/>
    <col min="3" max="3" width="2.8984375" style="1" bestFit="1" customWidth="1"/>
    <col min="4" max="4" width="6.59765625" style="1" customWidth="1"/>
    <col min="5" max="5" width="14.3984375" style="1" customWidth="1"/>
    <col min="6" max="6" width="11.19921875" style="1" bestFit="1" customWidth="1"/>
    <col min="7" max="7" width="11.19921875" style="1" customWidth="1"/>
    <col min="8" max="8" width="16.19921875" style="1" customWidth="1"/>
    <col min="9" max="9" width="17.3984375" style="1" bestFit="1" customWidth="1"/>
    <col min="10" max="10" width="15.3984375" style="1" customWidth="1"/>
    <col min="11" max="11" width="14.5" style="1" customWidth="1"/>
    <col min="12" max="16384" width="8.59765625" style="1" customWidth="1"/>
  </cols>
  <sheetData>
    <row r="1" spans="2:11" ht="24">
      <c r="B1" s="19" t="s">
        <v>25</v>
      </c>
      <c r="C1" s="19"/>
      <c r="D1" s="19"/>
      <c r="E1" s="19"/>
      <c r="F1" s="19"/>
      <c r="G1" s="19"/>
      <c r="H1" s="19"/>
      <c r="I1" s="76"/>
      <c r="J1" s="19"/>
      <c r="K1" s="19"/>
    </row>
    <row r="2" spans="2:11" s="3" customFormat="1" ht="13.5">
      <c r="B2" s="9" t="s">
        <v>0</v>
      </c>
      <c r="C2" s="2"/>
      <c r="D2" s="2"/>
      <c r="F2" s="62"/>
      <c r="G2" s="62"/>
      <c r="H2" s="62"/>
      <c r="I2" s="62"/>
      <c r="J2" s="62"/>
      <c r="K2" s="63" t="s">
        <v>48</v>
      </c>
    </row>
    <row r="3" spans="2:11" s="3" customFormat="1" ht="4.5" customHeight="1" thickBot="1">
      <c r="B3" s="4"/>
      <c r="C3" s="4"/>
      <c r="D3" s="4"/>
      <c r="E3" s="4"/>
      <c r="F3" s="64"/>
      <c r="G3" s="64"/>
      <c r="H3" s="64"/>
      <c r="I3" s="64"/>
      <c r="J3" s="64"/>
      <c r="K3" s="64"/>
    </row>
    <row r="4" spans="2:11" s="3" customFormat="1" ht="29.25" customHeight="1">
      <c r="B4" s="98" t="s">
        <v>5</v>
      </c>
      <c r="C4" s="98"/>
      <c r="D4" s="98"/>
      <c r="E4" s="99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13" customFormat="1" ht="16.5" customHeight="1">
      <c r="B5" s="11"/>
      <c r="C5" s="9" t="s">
        <v>8</v>
      </c>
      <c r="D5" s="11"/>
      <c r="E5" s="12" t="s">
        <v>13</v>
      </c>
      <c r="F5" s="67">
        <v>13632</v>
      </c>
      <c r="G5" s="68">
        <v>204179</v>
      </c>
      <c r="H5" s="68">
        <v>7669407111</v>
      </c>
      <c r="I5" s="69" t="s">
        <v>23</v>
      </c>
      <c r="J5" s="69" t="s">
        <v>23</v>
      </c>
      <c r="K5" s="69" t="s">
        <v>23</v>
      </c>
    </row>
    <row r="6" spans="2:11" s="13" customFormat="1" ht="16.5" customHeight="1">
      <c r="B6" s="11"/>
      <c r="C6" s="10"/>
      <c r="D6" s="11"/>
      <c r="E6" s="12" t="s">
        <v>14</v>
      </c>
      <c r="F6" s="67">
        <v>727359</v>
      </c>
      <c r="G6" s="68">
        <v>1213452</v>
      </c>
      <c r="H6" s="68">
        <v>10421119929</v>
      </c>
      <c r="I6" s="69" t="s">
        <v>23</v>
      </c>
      <c r="J6" s="69" t="s">
        <v>23</v>
      </c>
      <c r="K6" s="69" t="s">
        <v>23</v>
      </c>
    </row>
    <row r="7" spans="2:11" s="13" customFormat="1" ht="16.5" customHeight="1">
      <c r="B7" s="11"/>
      <c r="C7" s="10"/>
      <c r="D7" s="11"/>
      <c r="E7" s="12" t="s">
        <v>15</v>
      </c>
      <c r="F7" s="67">
        <v>179533</v>
      </c>
      <c r="G7" s="68">
        <v>320601</v>
      </c>
      <c r="H7" s="68">
        <v>2189245616</v>
      </c>
      <c r="I7" s="69" t="s">
        <v>23</v>
      </c>
      <c r="J7" s="69" t="s">
        <v>23</v>
      </c>
      <c r="K7" s="69" t="s">
        <v>23</v>
      </c>
    </row>
    <row r="8" spans="2:11" s="13" customFormat="1" ht="16.5" customHeight="1">
      <c r="B8" s="11"/>
      <c r="C8" s="10"/>
      <c r="D8" s="11"/>
      <c r="E8" s="12" t="s">
        <v>16</v>
      </c>
      <c r="F8" s="67">
        <v>379596</v>
      </c>
      <c r="G8" s="70">
        <v>470062</v>
      </c>
      <c r="H8" s="68">
        <v>4555071336</v>
      </c>
      <c r="I8" s="69" t="s">
        <v>23</v>
      </c>
      <c r="J8" s="69" t="s">
        <v>23</v>
      </c>
      <c r="K8" s="69" t="s">
        <v>23</v>
      </c>
    </row>
    <row r="9" spans="2:11" s="13" customFormat="1" ht="16.5" customHeight="1">
      <c r="B9" s="11"/>
      <c r="C9" s="10"/>
      <c r="D9" s="11"/>
      <c r="E9" s="77" t="s">
        <v>22</v>
      </c>
      <c r="F9" s="67">
        <f>SUM(F5:F8)</f>
        <v>1300120</v>
      </c>
      <c r="G9" s="68">
        <f>SUM(G5:G8)</f>
        <v>2208294</v>
      </c>
      <c r="H9" s="68">
        <f>SUM(H5:H8)</f>
        <v>24834843992</v>
      </c>
      <c r="I9" s="68">
        <v>18101221951</v>
      </c>
      <c r="J9" s="68">
        <v>5455194162</v>
      </c>
      <c r="K9" s="68">
        <v>1278427879</v>
      </c>
    </row>
    <row r="10" spans="2:11" s="13" customFormat="1" ht="16.5" customHeight="1">
      <c r="B10" s="12"/>
      <c r="C10" s="12" t="s">
        <v>9</v>
      </c>
      <c r="D10" s="12"/>
      <c r="E10" s="11"/>
      <c r="F10" s="67">
        <v>33128</v>
      </c>
      <c r="G10" s="69" t="s">
        <v>49</v>
      </c>
      <c r="H10" s="68">
        <v>289251384</v>
      </c>
      <c r="I10" s="68">
        <v>210534722</v>
      </c>
      <c r="J10" s="68">
        <v>53925184</v>
      </c>
      <c r="K10" s="68">
        <v>24791478</v>
      </c>
    </row>
    <row r="11" spans="2:11" s="13" customFormat="1" ht="16.5" customHeight="1">
      <c r="B11" s="100" t="s">
        <v>19</v>
      </c>
      <c r="C11" s="100"/>
      <c r="D11" s="100"/>
      <c r="E11" s="95"/>
      <c r="F11" s="67">
        <f aca="true" t="shared" si="0" ref="F11:K11">F9+F10</f>
        <v>1333248</v>
      </c>
      <c r="G11" s="68">
        <f t="shared" si="0"/>
        <v>2208294</v>
      </c>
      <c r="H11" s="68">
        <f t="shared" si="0"/>
        <v>25124095376</v>
      </c>
      <c r="I11" s="68">
        <f t="shared" si="0"/>
        <v>18311756673</v>
      </c>
      <c r="J11" s="68">
        <f t="shared" si="0"/>
        <v>5509119346</v>
      </c>
      <c r="K11" s="68">
        <f t="shared" si="0"/>
        <v>1303219357</v>
      </c>
    </row>
    <row r="12" spans="3:11" s="13" customFormat="1" ht="16.5" customHeight="1">
      <c r="C12" s="12" t="s">
        <v>10</v>
      </c>
      <c r="D12" s="12"/>
      <c r="F12" s="67">
        <v>394</v>
      </c>
      <c r="G12" s="69" t="s">
        <v>49</v>
      </c>
      <c r="H12" s="69" t="s">
        <v>49</v>
      </c>
      <c r="I12" s="68">
        <v>165008570</v>
      </c>
      <c r="J12" s="69" t="s">
        <v>23</v>
      </c>
      <c r="K12" s="69" t="s">
        <v>23</v>
      </c>
    </row>
    <row r="13" spans="3:11" s="13" customFormat="1" ht="16.5" customHeight="1">
      <c r="C13" s="12" t="s">
        <v>11</v>
      </c>
      <c r="D13" s="12"/>
      <c r="F13" s="67">
        <v>432</v>
      </c>
      <c r="G13" s="69" t="s">
        <v>49</v>
      </c>
      <c r="H13" s="69" t="s">
        <v>49</v>
      </c>
      <c r="I13" s="68">
        <v>21600000</v>
      </c>
      <c r="J13" s="69" t="s">
        <v>23</v>
      </c>
      <c r="K13" s="69" t="s">
        <v>23</v>
      </c>
    </row>
    <row r="14" spans="3:11" s="13" customFormat="1" ht="16.5" customHeight="1">
      <c r="C14" s="12" t="s">
        <v>12</v>
      </c>
      <c r="D14" s="12"/>
      <c r="F14" s="67">
        <v>35016</v>
      </c>
      <c r="G14" s="69" t="s">
        <v>23</v>
      </c>
      <c r="H14" s="69" t="s">
        <v>23</v>
      </c>
      <c r="I14" s="68">
        <v>2055095211</v>
      </c>
      <c r="J14" s="69" t="s">
        <v>23</v>
      </c>
      <c r="K14" s="69" t="s">
        <v>23</v>
      </c>
    </row>
    <row r="15" spans="2:11" s="13" customFormat="1" ht="16.5" customHeight="1">
      <c r="B15" s="94" t="s">
        <v>21</v>
      </c>
      <c r="C15" s="94"/>
      <c r="D15" s="94"/>
      <c r="E15" s="95"/>
      <c r="F15" s="67">
        <f>SUM(F12:F14)</f>
        <v>35842</v>
      </c>
      <c r="G15" s="69" t="s">
        <v>23</v>
      </c>
      <c r="H15" s="69" t="s">
        <v>23</v>
      </c>
      <c r="I15" s="68">
        <f>SUM(I12:I14)</f>
        <v>2241703781</v>
      </c>
      <c r="J15" s="69" t="s">
        <v>23</v>
      </c>
      <c r="K15" s="69" t="s">
        <v>23</v>
      </c>
    </row>
    <row r="16" spans="2:11" s="13" customFormat="1" ht="16.5" customHeight="1" thickBot="1">
      <c r="B16" s="96" t="s">
        <v>1</v>
      </c>
      <c r="C16" s="96"/>
      <c r="D16" s="96"/>
      <c r="E16" s="97"/>
      <c r="F16" s="78">
        <f>F11+F15</f>
        <v>1369090</v>
      </c>
      <c r="G16" s="79">
        <f>G11</f>
        <v>2208294</v>
      </c>
      <c r="H16" s="79">
        <f>H11</f>
        <v>25124095376</v>
      </c>
      <c r="I16" s="79">
        <f>I11+I15</f>
        <v>20553460454</v>
      </c>
      <c r="J16" s="79">
        <f>J11</f>
        <v>5509119346</v>
      </c>
      <c r="K16" s="79">
        <f>K11</f>
        <v>1303219357</v>
      </c>
    </row>
    <row r="17" spans="6:11" s="3" customFormat="1" ht="4.5" customHeight="1">
      <c r="F17" s="62"/>
      <c r="G17" s="62"/>
      <c r="H17" s="62"/>
      <c r="I17" s="62"/>
      <c r="J17" s="62"/>
      <c r="K17" s="62"/>
    </row>
    <row r="18" spans="6:11" s="3" customFormat="1" ht="4.5" customHeight="1">
      <c r="F18" s="62"/>
      <c r="G18" s="62"/>
      <c r="H18" s="62"/>
      <c r="I18" s="62"/>
      <c r="J18" s="62"/>
      <c r="K18" s="62"/>
    </row>
    <row r="19" spans="2:11" s="3" customFormat="1" ht="12.75" customHeight="1">
      <c r="B19" s="14" t="s">
        <v>2</v>
      </c>
      <c r="C19" s="7"/>
      <c r="D19" s="7"/>
      <c r="E19" s="7"/>
      <c r="F19" s="73"/>
      <c r="G19" s="62"/>
      <c r="H19" s="62"/>
      <c r="I19" s="62"/>
      <c r="J19" s="62"/>
      <c r="K19" s="63" t="s">
        <v>48</v>
      </c>
    </row>
    <row r="20" spans="2:11" s="3" customFormat="1" ht="4.5" customHeight="1" thickBot="1">
      <c r="B20" s="4"/>
      <c r="C20" s="4"/>
      <c r="D20" s="4"/>
      <c r="E20" s="4"/>
      <c r="F20" s="64"/>
      <c r="G20" s="64"/>
      <c r="H20" s="64"/>
      <c r="I20" s="64"/>
      <c r="J20" s="64"/>
      <c r="K20" s="64"/>
    </row>
    <row r="21" spans="2:11" s="3" customFormat="1" ht="27">
      <c r="B21" s="98" t="s">
        <v>5</v>
      </c>
      <c r="C21" s="98"/>
      <c r="D21" s="98"/>
      <c r="E21" s="99"/>
      <c r="F21" s="65" t="s">
        <v>3</v>
      </c>
      <c r="G21" s="65" t="s">
        <v>4</v>
      </c>
      <c r="H21" s="65" t="s">
        <v>6</v>
      </c>
      <c r="I21" s="66" t="s">
        <v>17</v>
      </c>
      <c r="J21" s="66" t="s">
        <v>18</v>
      </c>
      <c r="K21" s="66" t="s">
        <v>7</v>
      </c>
    </row>
    <row r="22" spans="2:11" s="13" customFormat="1" ht="16.5" customHeight="1">
      <c r="B22" s="11"/>
      <c r="C22" s="9" t="s">
        <v>8</v>
      </c>
      <c r="D22" s="11"/>
      <c r="E22" s="12" t="s">
        <v>13</v>
      </c>
      <c r="F22" s="67">
        <v>653</v>
      </c>
      <c r="G22" s="68">
        <v>8410</v>
      </c>
      <c r="H22" s="68">
        <v>395852069</v>
      </c>
      <c r="I22" s="69" t="s">
        <v>23</v>
      </c>
      <c r="J22" s="69" t="s">
        <v>23</v>
      </c>
      <c r="K22" s="69" t="s">
        <v>23</v>
      </c>
    </row>
    <row r="23" spans="2:11" s="13" customFormat="1" ht="16.5" customHeight="1">
      <c r="B23" s="11"/>
      <c r="C23" s="10"/>
      <c r="D23" s="11"/>
      <c r="E23" s="12" t="s">
        <v>14</v>
      </c>
      <c r="F23" s="67">
        <v>38232</v>
      </c>
      <c r="G23" s="68">
        <v>65737</v>
      </c>
      <c r="H23" s="68">
        <v>666299361</v>
      </c>
      <c r="I23" s="69" t="s">
        <v>23</v>
      </c>
      <c r="J23" s="69" t="s">
        <v>23</v>
      </c>
      <c r="K23" s="69" t="s">
        <v>23</v>
      </c>
    </row>
    <row r="24" spans="2:11" s="13" customFormat="1" ht="16.5" customHeight="1">
      <c r="B24" s="11"/>
      <c r="C24" s="10"/>
      <c r="D24" s="11"/>
      <c r="E24" s="12" t="s">
        <v>15</v>
      </c>
      <c r="F24" s="67">
        <v>9816</v>
      </c>
      <c r="G24" s="68">
        <v>17570</v>
      </c>
      <c r="H24" s="68">
        <v>117870950</v>
      </c>
      <c r="I24" s="69" t="s">
        <v>23</v>
      </c>
      <c r="J24" s="69" t="s">
        <v>23</v>
      </c>
      <c r="K24" s="69" t="s">
        <v>23</v>
      </c>
    </row>
    <row r="25" spans="2:11" s="13" customFormat="1" ht="16.5" customHeight="1">
      <c r="B25" s="11"/>
      <c r="C25" s="10"/>
      <c r="D25" s="11"/>
      <c r="E25" s="12" t="s">
        <v>16</v>
      </c>
      <c r="F25" s="67">
        <v>20306</v>
      </c>
      <c r="G25" s="68">
        <v>25336</v>
      </c>
      <c r="H25" s="68">
        <v>263138415</v>
      </c>
      <c r="I25" s="69" t="s">
        <v>23</v>
      </c>
      <c r="J25" s="69" t="s">
        <v>23</v>
      </c>
      <c r="K25" s="69" t="s">
        <v>23</v>
      </c>
    </row>
    <row r="26" spans="2:11" s="13" customFormat="1" ht="16.5" customHeight="1">
      <c r="B26" s="11"/>
      <c r="C26" s="10"/>
      <c r="D26" s="11"/>
      <c r="E26" s="77" t="s">
        <v>22</v>
      </c>
      <c r="F26" s="67">
        <f>SUM(F22:F25)</f>
        <v>69007</v>
      </c>
      <c r="G26" s="68">
        <f>SUM(G22:G25)</f>
        <v>117053</v>
      </c>
      <c r="H26" s="68">
        <f>SUM(H22:H25)</f>
        <v>1443160795</v>
      </c>
      <c r="I26" s="68">
        <v>1009380335</v>
      </c>
      <c r="J26" s="68">
        <v>380927063</v>
      </c>
      <c r="K26" s="68">
        <v>52853397</v>
      </c>
    </row>
    <row r="27" spans="2:11" s="13" customFormat="1" ht="16.5" customHeight="1">
      <c r="B27" s="12"/>
      <c r="C27" s="12" t="s">
        <v>9</v>
      </c>
      <c r="D27" s="12"/>
      <c r="E27" s="11"/>
      <c r="F27" s="67">
        <v>1542</v>
      </c>
      <c r="G27" s="69" t="s">
        <v>23</v>
      </c>
      <c r="H27" s="68">
        <v>14414021</v>
      </c>
      <c r="I27" s="68">
        <v>10108068</v>
      </c>
      <c r="J27" s="68">
        <v>3436598</v>
      </c>
      <c r="K27" s="68">
        <v>869355</v>
      </c>
    </row>
    <row r="28" spans="2:11" s="13" customFormat="1" ht="16.5" customHeight="1">
      <c r="B28" s="100" t="s">
        <v>20</v>
      </c>
      <c r="C28" s="100"/>
      <c r="D28" s="100"/>
      <c r="E28" s="95"/>
      <c r="F28" s="67">
        <f>F26+F27</f>
        <v>70549</v>
      </c>
      <c r="G28" s="68">
        <f>G26</f>
        <v>117053</v>
      </c>
      <c r="H28" s="68">
        <f>H26+H27</f>
        <v>1457574816</v>
      </c>
      <c r="I28" s="68">
        <f>I26+I27</f>
        <v>1019488403</v>
      </c>
      <c r="J28" s="68">
        <f>J26+J27</f>
        <v>384363661</v>
      </c>
      <c r="K28" s="68">
        <f>K26+K27</f>
        <v>53722752</v>
      </c>
    </row>
    <row r="29" spans="3:11" s="13" customFormat="1" ht="16.5" customHeight="1">
      <c r="C29" s="12" t="s">
        <v>10</v>
      </c>
      <c r="D29" s="12"/>
      <c r="F29" s="74" t="s">
        <v>23</v>
      </c>
      <c r="G29" s="69" t="s">
        <v>23</v>
      </c>
      <c r="H29" s="69" t="s">
        <v>23</v>
      </c>
      <c r="I29" s="69" t="s">
        <v>23</v>
      </c>
      <c r="J29" s="69" t="s">
        <v>23</v>
      </c>
      <c r="K29" s="69" t="s">
        <v>23</v>
      </c>
    </row>
    <row r="30" spans="3:11" s="13" customFormat="1" ht="16.5" customHeight="1">
      <c r="C30" s="12" t="s">
        <v>11</v>
      </c>
      <c r="D30" s="12"/>
      <c r="F30" s="74" t="s">
        <v>23</v>
      </c>
      <c r="G30" s="69" t="s">
        <v>23</v>
      </c>
      <c r="H30" s="69" t="s">
        <v>23</v>
      </c>
      <c r="I30" s="69" t="s">
        <v>23</v>
      </c>
      <c r="J30" s="69" t="s">
        <v>23</v>
      </c>
      <c r="K30" s="69" t="s">
        <v>23</v>
      </c>
    </row>
    <row r="31" spans="3:11" s="13" customFormat="1" ht="16.5" customHeight="1">
      <c r="C31" s="12" t="s">
        <v>12</v>
      </c>
      <c r="D31" s="12"/>
      <c r="F31" s="67">
        <v>1816</v>
      </c>
      <c r="G31" s="69" t="s">
        <v>23</v>
      </c>
      <c r="H31" s="69" t="s">
        <v>23</v>
      </c>
      <c r="I31" s="68">
        <v>156737984</v>
      </c>
      <c r="J31" s="69" t="s">
        <v>23</v>
      </c>
      <c r="K31" s="69" t="s">
        <v>23</v>
      </c>
    </row>
    <row r="32" spans="2:11" s="13" customFormat="1" ht="16.5" customHeight="1">
      <c r="B32" s="94" t="s">
        <v>21</v>
      </c>
      <c r="C32" s="94"/>
      <c r="D32" s="94"/>
      <c r="E32" s="95"/>
      <c r="F32" s="67">
        <f>SUM(F29:F31)</f>
        <v>1816</v>
      </c>
      <c r="G32" s="69" t="s">
        <v>23</v>
      </c>
      <c r="H32" s="69" t="s">
        <v>23</v>
      </c>
      <c r="I32" s="68">
        <f>SUM(I29:I31)</f>
        <v>156737984</v>
      </c>
      <c r="J32" s="69" t="s">
        <v>23</v>
      </c>
      <c r="K32" s="69" t="s">
        <v>23</v>
      </c>
    </row>
    <row r="33" spans="2:11" s="13" customFormat="1" ht="16.5" customHeight="1" thickBot="1">
      <c r="B33" s="96" t="s">
        <v>1</v>
      </c>
      <c r="C33" s="96"/>
      <c r="D33" s="96"/>
      <c r="E33" s="97"/>
      <c r="F33" s="78">
        <f>F28+F32</f>
        <v>72365</v>
      </c>
      <c r="G33" s="79">
        <f>G28</f>
        <v>117053</v>
      </c>
      <c r="H33" s="79">
        <f>H28</f>
        <v>1457574816</v>
      </c>
      <c r="I33" s="79">
        <f>I28+I32</f>
        <v>1176226387</v>
      </c>
      <c r="J33" s="79">
        <f>J28</f>
        <v>384363661</v>
      </c>
      <c r="K33" s="79">
        <f>K28</f>
        <v>53722752</v>
      </c>
    </row>
    <row r="34" s="3" customFormat="1" ht="4.5" customHeight="1"/>
    <row r="35" spans="2:7" s="3" customFormat="1" ht="13.5">
      <c r="B35" s="15" t="s">
        <v>26</v>
      </c>
      <c r="C35" s="14"/>
      <c r="D35" s="14"/>
      <c r="E35" s="14"/>
      <c r="G35" s="8"/>
    </row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horizontalDpi="600" verticalDpi="600" orientation="portrait" paperSize="9" scale="76" r:id="rId2"/>
  <ignoredErrors>
    <ignoredError sqref="I33 I16 G28" formula="1"/>
    <ignoredError sqref="F15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6"/>
  <sheetViews>
    <sheetView showGridLines="0" defaultGridColor="0" zoomScalePageLayoutView="0" colorId="22" workbookViewId="0" topLeftCell="A1">
      <pane xSplit="5" ySplit="4" topLeftCell="F2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33" sqref="F33"/>
    </sheetView>
  </sheetViews>
  <sheetFormatPr defaultColWidth="8.59765625" defaultRowHeight="15"/>
  <cols>
    <col min="1" max="1" width="1.59765625" style="1" customWidth="1"/>
    <col min="2" max="2" width="2.8984375" style="1" customWidth="1"/>
    <col min="3" max="3" width="2.8984375" style="1" bestFit="1" customWidth="1"/>
    <col min="4" max="4" width="6.59765625" style="1" customWidth="1"/>
    <col min="5" max="5" width="14.3984375" style="1" customWidth="1"/>
    <col min="6" max="6" width="11.19921875" style="1" bestFit="1" customWidth="1"/>
    <col min="7" max="7" width="11.19921875" style="1" customWidth="1"/>
    <col min="8" max="8" width="16.19921875" style="1" customWidth="1"/>
    <col min="9" max="9" width="17.3984375" style="1" bestFit="1" customWidth="1"/>
    <col min="10" max="10" width="15.3984375" style="1" customWidth="1"/>
    <col min="11" max="11" width="14.5" style="1" customWidth="1"/>
    <col min="12" max="16384" width="8.59765625" style="1" customWidth="1"/>
  </cols>
  <sheetData>
    <row r="1" spans="2:11" ht="24"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s="3" customFormat="1" ht="13.5">
      <c r="B2" s="9" t="s">
        <v>0</v>
      </c>
      <c r="C2" s="2"/>
      <c r="D2" s="2"/>
      <c r="F2" s="62"/>
      <c r="G2" s="62"/>
      <c r="H2" s="62"/>
      <c r="I2" s="62"/>
      <c r="J2" s="62"/>
      <c r="K2" s="63" t="s">
        <v>47</v>
      </c>
    </row>
    <row r="3" spans="2:11" s="3" customFormat="1" ht="4.5" customHeight="1" thickBot="1">
      <c r="B3" s="4"/>
      <c r="C3" s="4"/>
      <c r="D3" s="4"/>
      <c r="E3" s="4"/>
      <c r="F3" s="64"/>
      <c r="G3" s="64"/>
      <c r="H3" s="64"/>
      <c r="I3" s="64"/>
      <c r="J3" s="64"/>
      <c r="K3" s="64"/>
    </row>
    <row r="4" spans="2:11" s="3" customFormat="1" ht="29.25" customHeight="1">
      <c r="B4" s="98" t="s">
        <v>5</v>
      </c>
      <c r="C4" s="98"/>
      <c r="D4" s="98"/>
      <c r="E4" s="99"/>
      <c r="F4" s="65" t="s">
        <v>3</v>
      </c>
      <c r="G4" s="65" t="s">
        <v>4</v>
      </c>
      <c r="H4" s="65" t="s">
        <v>6</v>
      </c>
      <c r="I4" s="66" t="s">
        <v>17</v>
      </c>
      <c r="J4" s="66" t="s">
        <v>18</v>
      </c>
      <c r="K4" s="66" t="s">
        <v>7</v>
      </c>
    </row>
    <row r="5" spans="2:11" s="13" customFormat="1" ht="16.5" customHeight="1">
      <c r="B5" s="11"/>
      <c r="C5" s="9" t="s">
        <v>8</v>
      </c>
      <c r="D5" s="11"/>
      <c r="E5" s="12" t="s">
        <v>13</v>
      </c>
      <c r="F5" s="67">
        <v>13507</v>
      </c>
      <c r="G5" s="68">
        <v>199808</v>
      </c>
      <c r="H5" s="68">
        <v>7525430113</v>
      </c>
      <c r="I5" s="69" t="s">
        <v>23</v>
      </c>
      <c r="J5" s="69" t="s">
        <v>23</v>
      </c>
      <c r="K5" s="69" t="s">
        <v>23</v>
      </c>
    </row>
    <row r="6" spans="2:11" s="13" customFormat="1" ht="16.5" customHeight="1">
      <c r="B6" s="11"/>
      <c r="C6" s="10"/>
      <c r="D6" s="11"/>
      <c r="E6" s="12" t="s">
        <v>14</v>
      </c>
      <c r="F6" s="67">
        <v>723323</v>
      </c>
      <c r="G6" s="68">
        <v>1208978</v>
      </c>
      <c r="H6" s="68">
        <v>9898540446</v>
      </c>
      <c r="I6" s="69" t="s">
        <v>23</v>
      </c>
      <c r="J6" s="69" t="s">
        <v>23</v>
      </c>
      <c r="K6" s="69" t="s">
        <v>23</v>
      </c>
    </row>
    <row r="7" spans="2:11" s="13" customFormat="1" ht="16.5" customHeight="1">
      <c r="B7" s="11"/>
      <c r="C7" s="10"/>
      <c r="D7" s="11"/>
      <c r="E7" s="12" t="s">
        <v>15</v>
      </c>
      <c r="F7" s="67">
        <v>176184</v>
      </c>
      <c r="G7" s="68">
        <v>323190</v>
      </c>
      <c r="H7" s="68">
        <v>2196178460</v>
      </c>
      <c r="I7" s="69" t="s">
        <v>23</v>
      </c>
      <c r="J7" s="69" t="s">
        <v>23</v>
      </c>
      <c r="K7" s="69" t="s">
        <v>23</v>
      </c>
    </row>
    <row r="8" spans="2:11" s="13" customFormat="1" ht="16.5" customHeight="1">
      <c r="B8" s="11"/>
      <c r="C8" s="10"/>
      <c r="D8" s="11"/>
      <c r="E8" s="12" t="s">
        <v>16</v>
      </c>
      <c r="F8" s="67">
        <v>374292</v>
      </c>
      <c r="G8" s="70">
        <v>468379</v>
      </c>
      <c r="H8" s="68">
        <v>4266859900</v>
      </c>
      <c r="I8" s="69" t="s">
        <v>23</v>
      </c>
      <c r="J8" s="69" t="s">
        <v>23</v>
      </c>
      <c r="K8" s="69" t="s">
        <v>23</v>
      </c>
    </row>
    <row r="9" spans="2:11" s="13" customFormat="1" ht="16.5" customHeight="1">
      <c r="B9" s="11"/>
      <c r="C9" s="10"/>
      <c r="D9" s="11"/>
      <c r="E9" s="16" t="s">
        <v>22</v>
      </c>
      <c r="F9" s="71">
        <f>SUM(F5:F8)</f>
        <v>1287306</v>
      </c>
      <c r="G9" s="72">
        <f>SUM(G5:G8)</f>
        <v>2200355</v>
      </c>
      <c r="H9" s="72">
        <f>SUM(H5:H8)</f>
        <v>23887008919</v>
      </c>
      <c r="I9" s="72">
        <v>17412663329</v>
      </c>
      <c r="J9" s="72">
        <v>5118820555</v>
      </c>
      <c r="K9" s="72">
        <v>1355525035</v>
      </c>
    </row>
    <row r="10" spans="2:11" s="13" customFormat="1" ht="16.5" customHeight="1">
      <c r="B10" s="12"/>
      <c r="C10" s="12" t="s">
        <v>9</v>
      </c>
      <c r="D10" s="12"/>
      <c r="E10" s="11"/>
      <c r="F10" s="67">
        <v>31668</v>
      </c>
      <c r="G10" s="69" t="s">
        <v>23</v>
      </c>
      <c r="H10" s="68">
        <v>286231632</v>
      </c>
      <c r="I10" s="68">
        <v>208173775</v>
      </c>
      <c r="J10" s="68">
        <v>55971600</v>
      </c>
      <c r="K10" s="68">
        <v>22086257</v>
      </c>
    </row>
    <row r="11" spans="2:11" s="13" customFormat="1" ht="16.5" customHeight="1">
      <c r="B11" s="112" t="s">
        <v>19</v>
      </c>
      <c r="C11" s="112"/>
      <c r="D11" s="112"/>
      <c r="E11" s="109"/>
      <c r="F11" s="71">
        <f>F9+F10</f>
        <v>1318974</v>
      </c>
      <c r="G11" s="72">
        <f>G9</f>
        <v>2200355</v>
      </c>
      <c r="H11" s="72">
        <f>H9+H10</f>
        <v>24173240551</v>
      </c>
      <c r="I11" s="72">
        <f>I9+I10</f>
        <v>17620837104</v>
      </c>
      <c r="J11" s="72">
        <f>J9+J10</f>
        <v>5174792155</v>
      </c>
      <c r="K11" s="72">
        <f>K9+K10</f>
        <v>1377611292</v>
      </c>
    </row>
    <row r="12" spans="3:11" s="13" customFormat="1" ht="16.5" customHeight="1">
      <c r="C12" s="12" t="s">
        <v>10</v>
      </c>
      <c r="D12" s="12"/>
      <c r="F12" s="67">
        <v>388</v>
      </c>
      <c r="G12" s="69" t="s">
        <v>23</v>
      </c>
      <c r="H12" s="69" t="s">
        <v>23</v>
      </c>
      <c r="I12" s="68">
        <v>162434000</v>
      </c>
      <c r="J12" s="69" t="s">
        <v>23</v>
      </c>
      <c r="K12" s="69" t="s">
        <v>23</v>
      </c>
    </row>
    <row r="13" spans="3:11" s="13" customFormat="1" ht="16.5" customHeight="1">
      <c r="C13" s="12" t="s">
        <v>11</v>
      </c>
      <c r="D13" s="12"/>
      <c r="F13" s="67">
        <v>413</v>
      </c>
      <c r="G13" s="69" t="s">
        <v>23</v>
      </c>
      <c r="H13" s="69" t="s">
        <v>23</v>
      </c>
      <c r="I13" s="68">
        <v>20650000</v>
      </c>
      <c r="J13" s="69" t="s">
        <v>23</v>
      </c>
      <c r="K13" s="69" t="s">
        <v>23</v>
      </c>
    </row>
    <row r="14" spans="3:11" s="13" customFormat="1" ht="16.5" customHeight="1">
      <c r="C14" s="12" t="s">
        <v>12</v>
      </c>
      <c r="D14" s="12"/>
      <c r="F14" s="67">
        <v>31147</v>
      </c>
      <c r="G14" s="69" t="s">
        <v>23</v>
      </c>
      <c r="H14" s="69" t="s">
        <v>23</v>
      </c>
      <c r="I14" s="68">
        <v>1847946024</v>
      </c>
      <c r="J14" s="69" t="s">
        <v>23</v>
      </c>
      <c r="K14" s="69" t="s">
        <v>23</v>
      </c>
    </row>
    <row r="15" spans="2:11" s="13" customFormat="1" ht="16.5" customHeight="1">
      <c r="B15" s="108" t="s">
        <v>21</v>
      </c>
      <c r="C15" s="108"/>
      <c r="D15" s="108"/>
      <c r="E15" s="109"/>
      <c r="F15" s="71">
        <f>SUM(F12:F14)</f>
        <v>31948</v>
      </c>
      <c r="G15" s="69" t="s">
        <v>23</v>
      </c>
      <c r="H15" s="69" t="s">
        <v>23</v>
      </c>
      <c r="I15" s="72">
        <f>SUM(I12:I14)</f>
        <v>2031030024</v>
      </c>
      <c r="J15" s="69" t="s">
        <v>23</v>
      </c>
      <c r="K15" s="69" t="s">
        <v>23</v>
      </c>
    </row>
    <row r="16" spans="2:11" s="13" customFormat="1" ht="16.5" customHeight="1" thickBot="1">
      <c r="B16" s="110" t="s">
        <v>1</v>
      </c>
      <c r="C16" s="110"/>
      <c r="D16" s="110"/>
      <c r="E16" s="111"/>
      <c r="F16" s="17">
        <f>F11+F15</f>
        <v>1350922</v>
      </c>
      <c r="G16" s="18">
        <f>G11</f>
        <v>2200355</v>
      </c>
      <c r="H16" s="18">
        <f>H11</f>
        <v>24173240551</v>
      </c>
      <c r="I16" s="18">
        <f>I11+I15</f>
        <v>19651867128</v>
      </c>
      <c r="J16" s="18">
        <f>J11</f>
        <v>5174792155</v>
      </c>
      <c r="K16" s="18">
        <f>K11</f>
        <v>1377611292</v>
      </c>
    </row>
    <row r="17" spans="6:11" s="3" customFormat="1" ht="4.5" customHeight="1">
      <c r="F17" s="62"/>
      <c r="G17" s="62"/>
      <c r="H17" s="62"/>
      <c r="I17" s="62"/>
      <c r="J17" s="62"/>
      <c r="K17" s="62"/>
    </row>
    <row r="18" spans="6:11" s="3" customFormat="1" ht="4.5" customHeight="1">
      <c r="F18" s="62"/>
      <c r="G18" s="62"/>
      <c r="H18" s="62"/>
      <c r="I18" s="62"/>
      <c r="J18" s="62"/>
      <c r="K18" s="62"/>
    </row>
    <row r="19" spans="2:11" s="3" customFormat="1" ht="12.75" customHeight="1">
      <c r="B19" s="14" t="s">
        <v>2</v>
      </c>
      <c r="C19" s="7"/>
      <c r="D19" s="7"/>
      <c r="E19" s="7"/>
      <c r="F19" s="73"/>
      <c r="G19" s="62"/>
      <c r="H19" s="62"/>
      <c r="I19" s="62"/>
      <c r="J19" s="62"/>
      <c r="K19" s="63" t="s">
        <v>47</v>
      </c>
    </row>
    <row r="20" spans="2:11" s="3" customFormat="1" ht="4.5" customHeight="1" thickBot="1">
      <c r="B20" s="4"/>
      <c r="C20" s="4"/>
      <c r="D20" s="4"/>
      <c r="E20" s="4"/>
      <c r="F20" s="64"/>
      <c r="G20" s="64"/>
      <c r="H20" s="64"/>
      <c r="I20" s="64"/>
      <c r="J20" s="64"/>
      <c r="K20" s="64"/>
    </row>
    <row r="21" spans="2:11" s="3" customFormat="1" ht="27">
      <c r="B21" s="98" t="s">
        <v>5</v>
      </c>
      <c r="C21" s="98"/>
      <c r="D21" s="98"/>
      <c r="E21" s="99"/>
      <c r="F21" s="65" t="s">
        <v>3</v>
      </c>
      <c r="G21" s="65" t="s">
        <v>4</v>
      </c>
      <c r="H21" s="65" t="s">
        <v>6</v>
      </c>
      <c r="I21" s="66" t="s">
        <v>17</v>
      </c>
      <c r="J21" s="66" t="s">
        <v>18</v>
      </c>
      <c r="K21" s="66" t="s">
        <v>7</v>
      </c>
    </row>
    <row r="22" spans="2:11" s="13" customFormat="1" ht="16.5" customHeight="1">
      <c r="B22" s="11"/>
      <c r="C22" s="9" t="s">
        <v>8</v>
      </c>
      <c r="D22" s="11"/>
      <c r="E22" s="12" t="s">
        <v>13</v>
      </c>
      <c r="F22" s="67">
        <v>926</v>
      </c>
      <c r="G22" s="68">
        <v>12829</v>
      </c>
      <c r="H22" s="68">
        <v>566793932</v>
      </c>
      <c r="I22" s="69" t="s">
        <v>23</v>
      </c>
      <c r="J22" s="69" t="s">
        <v>23</v>
      </c>
      <c r="K22" s="69" t="s">
        <v>23</v>
      </c>
    </row>
    <row r="23" spans="2:11" s="13" customFormat="1" ht="16.5" customHeight="1">
      <c r="B23" s="11"/>
      <c r="C23" s="10"/>
      <c r="D23" s="11"/>
      <c r="E23" s="12" t="s">
        <v>14</v>
      </c>
      <c r="F23" s="67">
        <v>49304</v>
      </c>
      <c r="G23" s="68">
        <v>84053</v>
      </c>
      <c r="H23" s="68">
        <v>820989842</v>
      </c>
      <c r="I23" s="69" t="s">
        <v>23</v>
      </c>
      <c r="J23" s="69" t="s">
        <v>23</v>
      </c>
      <c r="K23" s="69" t="s">
        <v>23</v>
      </c>
    </row>
    <row r="24" spans="2:11" s="13" customFormat="1" ht="16.5" customHeight="1">
      <c r="B24" s="11"/>
      <c r="C24" s="10"/>
      <c r="D24" s="11"/>
      <c r="E24" s="12" t="s">
        <v>15</v>
      </c>
      <c r="F24" s="67">
        <v>13153</v>
      </c>
      <c r="G24" s="68">
        <v>24226</v>
      </c>
      <c r="H24" s="68">
        <v>159470200</v>
      </c>
      <c r="I24" s="69" t="s">
        <v>23</v>
      </c>
      <c r="J24" s="69" t="s">
        <v>23</v>
      </c>
      <c r="K24" s="69" t="s">
        <v>23</v>
      </c>
    </row>
    <row r="25" spans="2:11" s="13" customFormat="1" ht="16.5" customHeight="1">
      <c r="B25" s="11"/>
      <c r="C25" s="10"/>
      <c r="D25" s="11"/>
      <c r="E25" s="12" t="s">
        <v>16</v>
      </c>
      <c r="F25" s="67">
        <v>25324</v>
      </c>
      <c r="G25" s="68">
        <v>31933</v>
      </c>
      <c r="H25" s="68">
        <v>315739235</v>
      </c>
      <c r="I25" s="69" t="s">
        <v>23</v>
      </c>
      <c r="J25" s="69" t="s">
        <v>23</v>
      </c>
      <c r="K25" s="69" t="s">
        <v>23</v>
      </c>
    </row>
    <row r="26" spans="2:11" s="13" customFormat="1" ht="16.5" customHeight="1">
      <c r="B26" s="11"/>
      <c r="C26" s="10"/>
      <c r="D26" s="11"/>
      <c r="E26" s="16" t="s">
        <v>22</v>
      </c>
      <c r="F26" s="71">
        <f>SUM(F22:F25)</f>
        <v>88707</v>
      </c>
      <c r="G26" s="72">
        <f>SUM(G22:G25)</f>
        <v>153041</v>
      </c>
      <c r="H26" s="72">
        <f>SUM(H22:H25)</f>
        <v>1862993209</v>
      </c>
      <c r="I26" s="72">
        <v>1301058250</v>
      </c>
      <c r="J26" s="72">
        <v>491061979</v>
      </c>
      <c r="K26" s="72">
        <v>70872980</v>
      </c>
    </row>
    <row r="27" spans="2:11" s="13" customFormat="1" ht="16.5" customHeight="1">
      <c r="B27" s="12"/>
      <c r="C27" s="12" t="s">
        <v>9</v>
      </c>
      <c r="D27" s="12"/>
      <c r="E27" s="11"/>
      <c r="F27" s="67">
        <v>1992</v>
      </c>
      <c r="G27" s="69" t="s">
        <v>23</v>
      </c>
      <c r="H27" s="68">
        <v>18394868</v>
      </c>
      <c r="I27" s="68">
        <v>12879992</v>
      </c>
      <c r="J27" s="68">
        <v>4316925</v>
      </c>
      <c r="K27" s="68">
        <v>1197951</v>
      </c>
    </row>
    <row r="28" spans="2:11" s="13" customFormat="1" ht="16.5" customHeight="1">
      <c r="B28" s="112" t="s">
        <v>20</v>
      </c>
      <c r="C28" s="112"/>
      <c r="D28" s="112"/>
      <c r="E28" s="109"/>
      <c r="F28" s="71">
        <f>F26+F27</f>
        <v>90699</v>
      </c>
      <c r="G28" s="72">
        <f>G26</f>
        <v>153041</v>
      </c>
      <c r="H28" s="72">
        <f>H26+H27</f>
        <v>1881388077</v>
      </c>
      <c r="I28" s="72">
        <f>I26+I27</f>
        <v>1313938242</v>
      </c>
      <c r="J28" s="72">
        <f>J26+J27</f>
        <v>495378904</v>
      </c>
      <c r="K28" s="72">
        <f>K26+K27</f>
        <v>72070931</v>
      </c>
    </row>
    <row r="29" spans="3:11" s="13" customFormat="1" ht="16.5" customHeight="1">
      <c r="C29" s="12" t="s">
        <v>10</v>
      </c>
      <c r="D29" s="12"/>
      <c r="F29" s="74" t="s">
        <v>23</v>
      </c>
      <c r="G29" s="69" t="s">
        <v>23</v>
      </c>
      <c r="H29" s="69" t="s">
        <v>23</v>
      </c>
      <c r="I29" s="69" t="s">
        <v>23</v>
      </c>
      <c r="J29" s="69" t="s">
        <v>23</v>
      </c>
      <c r="K29" s="69" t="s">
        <v>23</v>
      </c>
    </row>
    <row r="30" spans="3:11" s="13" customFormat="1" ht="16.5" customHeight="1">
      <c r="C30" s="12" t="s">
        <v>11</v>
      </c>
      <c r="D30" s="12"/>
      <c r="F30" s="74" t="s">
        <v>23</v>
      </c>
      <c r="G30" s="69" t="s">
        <v>23</v>
      </c>
      <c r="H30" s="69" t="s">
        <v>23</v>
      </c>
      <c r="I30" s="69" t="s">
        <v>23</v>
      </c>
      <c r="J30" s="69" t="s">
        <v>23</v>
      </c>
      <c r="K30" s="69" t="s">
        <v>23</v>
      </c>
    </row>
    <row r="31" spans="3:11" s="13" customFormat="1" ht="16.5" customHeight="1">
      <c r="C31" s="12" t="s">
        <v>12</v>
      </c>
      <c r="D31" s="12"/>
      <c r="F31" s="67">
        <v>2166</v>
      </c>
      <c r="G31" s="69" t="s">
        <v>23</v>
      </c>
      <c r="H31" s="69" t="s">
        <v>23</v>
      </c>
      <c r="I31" s="68">
        <v>191433270</v>
      </c>
      <c r="J31" s="69" t="s">
        <v>23</v>
      </c>
      <c r="K31" s="69" t="s">
        <v>23</v>
      </c>
    </row>
    <row r="32" spans="2:11" s="13" customFormat="1" ht="16.5" customHeight="1">
      <c r="B32" s="108" t="s">
        <v>21</v>
      </c>
      <c r="C32" s="108"/>
      <c r="D32" s="108"/>
      <c r="E32" s="109"/>
      <c r="F32" s="71">
        <f>SUM(F29:F31)</f>
        <v>2166</v>
      </c>
      <c r="G32" s="69" t="s">
        <v>23</v>
      </c>
      <c r="H32" s="69" t="s">
        <v>23</v>
      </c>
      <c r="I32" s="72">
        <f>SUM(I29:I31)</f>
        <v>191433270</v>
      </c>
      <c r="J32" s="69" t="s">
        <v>23</v>
      </c>
      <c r="K32" s="69" t="s">
        <v>23</v>
      </c>
    </row>
    <row r="33" spans="2:11" s="13" customFormat="1" ht="16.5" customHeight="1" thickBot="1">
      <c r="B33" s="110" t="s">
        <v>1</v>
      </c>
      <c r="C33" s="110"/>
      <c r="D33" s="110"/>
      <c r="E33" s="111"/>
      <c r="F33" s="17">
        <f>F28+F32</f>
        <v>92865</v>
      </c>
      <c r="G33" s="18">
        <f>G28</f>
        <v>153041</v>
      </c>
      <c r="H33" s="18">
        <f>H28</f>
        <v>1881388077</v>
      </c>
      <c r="I33" s="18">
        <f>I28+I32</f>
        <v>1505371512</v>
      </c>
      <c r="J33" s="18">
        <f>J28</f>
        <v>495378904</v>
      </c>
      <c r="K33" s="18">
        <f>K28</f>
        <v>72070931</v>
      </c>
    </row>
    <row r="34" spans="6:11" s="3" customFormat="1" ht="4.5" customHeight="1">
      <c r="F34" s="62"/>
      <c r="G34" s="62"/>
      <c r="H34" s="62"/>
      <c r="I34" s="62"/>
      <c r="J34" s="62"/>
      <c r="K34" s="62"/>
    </row>
    <row r="35" spans="2:11" s="3" customFormat="1" ht="13.5">
      <c r="B35" s="15" t="s">
        <v>26</v>
      </c>
      <c r="C35" s="14"/>
      <c r="D35" s="14"/>
      <c r="E35" s="14"/>
      <c r="F35" s="62"/>
      <c r="G35" s="75"/>
      <c r="H35" s="62"/>
      <c r="I35" s="62"/>
      <c r="J35" s="62"/>
      <c r="K35" s="62"/>
    </row>
    <row r="36" spans="6:11" s="3" customFormat="1" ht="13.5">
      <c r="F36" s="62"/>
      <c r="G36" s="62"/>
      <c r="H36" s="62"/>
      <c r="I36" s="62"/>
      <c r="J36" s="62"/>
      <c r="K36" s="62"/>
    </row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</sheetData>
  <sheetProtection/>
  <mergeCells count="8">
    <mergeCell ref="B32:E32"/>
    <mergeCell ref="B33:E33"/>
    <mergeCell ref="B4:E4"/>
    <mergeCell ref="B11:E11"/>
    <mergeCell ref="B15:E15"/>
    <mergeCell ref="B16:E16"/>
    <mergeCell ref="B21:E21"/>
    <mergeCell ref="B28:E28"/>
  </mergeCells>
  <printOptions/>
  <pageMargins left="0.5" right="0.5" top="1.01" bottom="0.5" header="0.85" footer="0.51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2020-12-09T00:18:11Z</cp:lastPrinted>
  <dcterms:created xsi:type="dcterms:W3CDTF">1997-07-16T04:55:14Z</dcterms:created>
  <dcterms:modified xsi:type="dcterms:W3CDTF">2023-01-17T07:37:42Z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00080048010000000000010262b10207c74006b004c800</vt:lpwstr>
  </property>
</Properties>
</file>